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65" yWindow="600" windowWidth="12735" windowHeight="6855" tabRatio="438" firstSheet="1" activeTab="1"/>
  </bookViews>
  <sheets>
    <sheet name="FY13RequestSummary" sheetId="4" state="hidden" r:id="rId1"/>
    <sheet name="SchedAUpdated" sheetId="1" r:id="rId2"/>
    <sheet name="SummaryofRequests" sheetId="3" state="hidden" r:id="rId3"/>
  </sheets>
  <definedNames>
    <definedName name="_xlnm.Print_Area" localSheetId="0">FY13RequestSummary!$A$1:$Y$33</definedName>
    <definedName name="_xlnm.Print_Area" localSheetId="1">SchedAUpdated!$A$1:$W$53</definedName>
    <definedName name="_xlnm.Print_Area" localSheetId="2">SummaryofRequests!$A$1:$X$47</definedName>
  </definedNames>
  <calcPr calcId="145621"/>
</workbook>
</file>

<file path=xl/calcChain.xml><?xml version="1.0" encoding="utf-8"?>
<calcChain xmlns="http://schemas.openxmlformats.org/spreadsheetml/2006/main">
  <c r="U38" i="1" l="1"/>
  <c r="U39" i="1"/>
  <c r="O38" i="1"/>
  <c r="B38" i="1"/>
  <c r="B40" i="1"/>
  <c r="B41" i="1"/>
  <c r="U21" i="1"/>
  <c r="U26" i="1"/>
  <c r="O21" i="1"/>
  <c r="B25" i="1"/>
  <c r="B12" i="1"/>
  <c r="J32" i="1" l="1"/>
  <c r="B33" i="1"/>
  <c r="P32" i="1" l="1"/>
  <c r="P23" i="1"/>
  <c r="B32" i="1" l="1"/>
  <c r="V46" i="1" l="1"/>
  <c r="T46" i="1"/>
  <c r="S46" i="1"/>
  <c r="R46" i="1"/>
  <c r="Q46" i="1"/>
  <c r="N46" i="1"/>
  <c r="M46" i="1"/>
  <c r="L46" i="1"/>
  <c r="K46" i="1"/>
  <c r="I46" i="1"/>
  <c r="H46" i="1"/>
  <c r="G46" i="1"/>
  <c r="F46" i="1"/>
  <c r="E46" i="1"/>
  <c r="D46" i="1"/>
  <c r="C46" i="1"/>
  <c r="O16" i="1" l="1"/>
  <c r="B39" i="1" l="1"/>
  <c r="B36" i="1"/>
  <c r="W25" i="1" l="1"/>
  <c r="U36" i="1" l="1"/>
  <c r="U37" i="1" l="1"/>
  <c r="V35" i="1" l="1"/>
  <c r="D37" i="1" l="1"/>
  <c r="B37" i="1" l="1"/>
  <c r="C37" i="1" l="1"/>
  <c r="V26" i="3" l="1"/>
  <c r="B26" i="3"/>
  <c r="U40" i="1" l="1"/>
  <c r="Q17" i="1" l="1"/>
  <c r="P10" i="3" l="1"/>
  <c r="S34" i="1" l="1"/>
  <c r="N34" i="1"/>
  <c r="M34" i="1"/>
  <c r="L34" i="1"/>
  <c r="B12" i="3" l="1"/>
  <c r="M16" i="1" l="1"/>
  <c r="T7" i="1" l="1"/>
  <c r="B7" i="1" l="1"/>
  <c r="C8" i="1" l="1"/>
  <c r="B11" i="1" l="1"/>
  <c r="B18" i="1"/>
  <c r="K18" i="4" l="1"/>
  <c r="J18" i="4"/>
  <c r="J14" i="4" l="1"/>
  <c r="J16" i="4" l="1"/>
  <c r="J21" i="4" s="1"/>
  <c r="N10" i="3" l="1"/>
  <c r="P10" i="4" l="1"/>
  <c r="I10" i="4"/>
  <c r="D10" i="4"/>
  <c r="R11" i="3" l="1"/>
  <c r="N11" i="3"/>
  <c r="M11" i="3"/>
  <c r="K11" i="3"/>
  <c r="L11" i="3"/>
  <c r="I32" i="1"/>
  <c r="J10" i="3" l="1"/>
  <c r="H38" i="1" l="1"/>
  <c r="R44" i="1" l="1"/>
  <c r="R24" i="1"/>
  <c r="R9" i="1"/>
  <c r="R50" i="1" s="1"/>
  <c r="R14" i="4"/>
  <c r="Q13" i="3"/>
  <c r="Q39" i="3" s="1"/>
  <c r="B8" i="1"/>
  <c r="J8" i="1"/>
  <c r="T8" i="1"/>
  <c r="J7" i="1"/>
  <c r="Q22" i="3" l="1"/>
  <c r="R27" i="1"/>
  <c r="R9" i="4"/>
  <c r="R47" i="1"/>
  <c r="L18" i="4"/>
  <c r="M18" i="4"/>
  <c r="N18" i="4"/>
  <c r="O18" i="4"/>
  <c r="R51" i="1" l="1"/>
  <c r="R52" i="1" s="1"/>
  <c r="R57" i="1"/>
  <c r="N44" i="1"/>
  <c r="N49" i="1" s="1"/>
  <c r="N20" i="4" s="1"/>
  <c r="N24" i="1"/>
  <c r="N9" i="1"/>
  <c r="M22" i="3" l="1"/>
  <c r="N50" i="1"/>
  <c r="N27" i="1"/>
  <c r="N57" i="1" s="1"/>
  <c r="N9" i="4"/>
  <c r="N51" i="1" l="1"/>
  <c r="N52" i="1" s="1"/>
  <c r="N47" i="1"/>
  <c r="B44" i="1"/>
  <c r="C9" i="1"/>
  <c r="C50" i="1" s="1"/>
  <c r="K9" i="1"/>
  <c r="K50" i="1" s="1"/>
  <c r="Q9" i="1"/>
  <c r="Q50" i="1" s="1"/>
  <c r="A9" i="4"/>
  <c r="A18" i="4"/>
  <c r="A9" i="3"/>
  <c r="C13" i="3"/>
  <c r="C39" i="3" s="1"/>
  <c r="D13" i="3"/>
  <c r="D39" i="3" s="1"/>
  <c r="E13" i="3"/>
  <c r="E39" i="3" s="1"/>
  <c r="F13" i="3"/>
  <c r="F39" i="3" s="1"/>
  <c r="G13" i="3"/>
  <c r="G39" i="3" s="1"/>
  <c r="H13" i="3"/>
  <c r="H39" i="3" s="1"/>
  <c r="I13" i="3"/>
  <c r="I39" i="3" s="1"/>
  <c r="J13" i="3"/>
  <c r="J39" i="3" s="1"/>
  <c r="M13" i="3"/>
  <c r="M39" i="3" s="1"/>
  <c r="L13" i="3"/>
  <c r="N13" i="3"/>
  <c r="O13" i="3"/>
  <c r="O39" i="3" s="1"/>
  <c r="P13" i="3"/>
  <c r="P39" i="3" s="1"/>
  <c r="R13" i="3"/>
  <c r="R39" i="3" s="1"/>
  <c r="S13" i="3"/>
  <c r="S39" i="3" s="1"/>
  <c r="T13" i="3"/>
  <c r="T39" i="3" s="1"/>
  <c r="U13" i="3"/>
  <c r="U39" i="3" s="1"/>
  <c r="V13" i="3"/>
  <c r="V39" i="3" s="1"/>
  <c r="W13" i="3"/>
  <c r="W39" i="3" s="1"/>
  <c r="A22" i="3"/>
  <c r="X28" i="3"/>
  <c r="Y28" i="3" s="1"/>
  <c r="W26" i="1"/>
  <c r="K28" i="1"/>
  <c r="W32" i="1"/>
  <c r="X32" i="1" s="1"/>
  <c r="W33" i="1"/>
  <c r="X33" i="1" s="1"/>
  <c r="W34" i="1"/>
  <c r="X34" i="1" s="1"/>
  <c r="W35" i="1"/>
  <c r="X35" i="1" s="1"/>
  <c r="W36" i="1"/>
  <c r="X36" i="1" s="1"/>
  <c r="W37" i="1"/>
  <c r="X37" i="1" s="1"/>
  <c r="W38" i="1"/>
  <c r="X38" i="1" s="1"/>
  <c r="W39" i="1"/>
  <c r="X39" i="1" s="1"/>
  <c r="W40" i="1"/>
  <c r="X40" i="1" s="1"/>
  <c r="W41" i="1"/>
  <c r="W42" i="1"/>
  <c r="W43" i="1"/>
  <c r="C44" i="1"/>
  <c r="D44" i="1"/>
  <c r="E44" i="1"/>
  <c r="F44" i="1"/>
  <c r="G44" i="1"/>
  <c r="H44" i="1"/>
  <c r="I44" i="1"/>
  <c r="J44" i="1"/>
  <c r="K44" i="1"/>
  <c r="L44" i="1"/>
  <c r="M44" i="1"/>
  <c r="M49" i="1" s="1"/>
  <c r="O44" i="1"/>
  <c r="O49" i="1" s="1"/>
  <c r="O20" i="4" s="1"/>
  <c r="P44" i="1"/>
  <c r="Q44" i="1"/>
  <c r="S44" i="1"/>
  <c r="T44" i="1"/>
  <c r="U44" i="1"/>
  <c r="V44" i="1"/>
  <c r="K53" i="1"/>
  <c r="W21" i="1"/>
  <c r="W20" i="1"/>
  <c r="B10" i="3" l="1"/>
  <c r="B49" i="1"/>
  <c r="B50" i="1" s="1"/>
  <c r="B51" i="1" s="1"/>
  <c r="N24" i="3"/>
  <c r="N39" i="3"/>
  <c r="L24" i="3"/>
  <c r="L39" i="3"/>
  <c r="X12" i="3"/>
  <c r="Y12" i="3" s="1"/>
  <c r="M24" i="3"/>
  <c r="M25" i="3" s="1"/>
  <c r="M27" i="3" s="1"/>
  <c r="B11" i="3"/>
  <c r="X11" i="3" s="1"/>
  <c r="Y11" i="3" s="1"/>
  <c r="B11" i="4"/>
  <c r="Y11" i="4" s="1"/>
  <c r="Z11" i="4" s="1"/>
  <c r="X10" i="3"/>
  <c r="Y10" i="3" s="1"/>
  <c r="B10" i="4"/>
  <c r="B13" i="4"/>
  <c r="Y13" i="4" s="1"/>
  <c r="Z13" i="4" s="1"/>
  <c r="L49" i="1"/>
  <c r="L20" i="4" s="1"/>
  <c r="M20" i="4"/>
  <c r="R18" i="4"/>
  <c r="Q25" i="3"/>
  <c r="Q27" i="3" s="1"/>
  <c r="G14" i="4"/>
  <c r="U14" i="4"/>
  <c r="U16" i="4" s="1"/>
  <c r="U21" i="4" s="1"/>
  <c r="L14" i="4"/>
  <c r="P14" i="4"/>
  <c r="C14" i="4"/>
  <c r="N14" i="4"/>
  <c r="W14" i="4"/>
  <c r="K14" i="4"/>
  <c r="S14" i="4"/>
  <c r="X44" i="1"/>
  <c r="W44" i="1"/>
  <c r="Y12" i="4"/>
  <c r="Z12" i="4" s="1"/>
  <c r="P22" i="3"/>
  <c r="P25" i="3" s="1"/>
  <c r="P27" i="3" s="1"/>
  <c r="Q18" i="4"/>
  <c r="K13" i="3"/>
  <c r="D14" i="4"/>
  <c r="H14" i="4"/>
  <c r="M14" i="4"/>
  <c r="Q14" i="4"/>
  <c r="V14" i="4"/>
  <c r="V16" i="4" s="1"/>
  <c r="V21" i="4" s="1"/>
  <c r="V9" i="1"/>
  <c r="V50" i="1" s="1"/>
  <c r="T9" i="1"/>
  <c r="T50" i="1" s="1"/>
  <c r="J9" i="1"/>
  <c r="J50" i="1" s="1"/>
  <c r="G9" i="1"/>
  <c r="G50" i="1" s="1"/>
  <c r="E9" i="1"/>
  <c r="E50" i="1" s="1"/>
  <c r="I9" i="1"/>
  <c r="I50" i="1" s="1"/>
  <c r="E14" i="4"/>
  <c r="I14" i="4"/>
  <c r="F24" i="1"/>
  <c r="F14" i="4"/>
  <c r="O14" i="4"/>
  <c r="T14" i="4"/>
  <c r="T16" i="4" s="1"/>
  <c r="T21" i="4" s="1"/>
  <c r="X14" i="4"/>
  <c r="S9" i="1"/>
  <c r="S50" i="1" s="1"/>
  <c r="F9" i="1"/>
  <c r="F50" i="1" s="1"/>
  <c r="D9" i="1"/>
  <c r="D50" i="1" s="1"/>
  <c r="S24" i="1"/>
  <c r="M24" i="1"/>
  <c r="J24" i="1"/>
  <c r="J46" i="1" s="1"/>
  <c r="E24" i="1"/>
  <c r="W8" i="1"/>
  <c r="G24" i="1"/>
  <c r="B24" i="1"/>
  <c r="B27" i="1" s="1"/>
  <c r="C24" i="1"/>
  <c r="C27" i="1" s="1"/>
  <c r="C51" i="1" s="1"/>
  <c r="C52" i="1" s="1"/>
  <c r="T24" i="1"/>
  <c r="L9" i="1"/>
  <c r="L50" i="1" s="1"/>
  <c r="O24" i="1"/>
  <c r="O46" i="1" s="1"/>
  <c r="L24" i="1"/>
  <c r="H24" i="1"/>
  <c r="W7" i="1"/>
  <c r="O9" i="1"/>
  <c r="O50" i="1" s="1"/>
  <c r="M9" i="1"/>
  <c r="M50" i="1" s="1"/>
  <c r="I18" i="4"/>
  <c r="W14" i="1"/>
  <c r="W15" i="1"/>
  <c r="W23" i="1"/>
  <c r="I24" i="1"/>
  <c r="U9" i="1"/>
  <c r="U50" i="1" s="1"/>
  <c r="P9" i="1"/>
  <c r="P50" i="1" s="1"/>
  <c r="H9" i="1"/>
  <c r="H50" i="1" s="1"/>
  <c r="U24" i="1"/>
  <c r="U46" i="1" s="1"/>
  <c r="Q24" i="1"/>
  <c r="D24" i="1"/>
  <c r="W11" i="1"/>
  <c r="W13" i="1"/>
  <c r="W17" i="1"/>
  <c r="W18" i="1"/>
  <c r="W19" i="1"/>
  <c r="W22" i="1"/>
  <c r="W16" i="1"/>
  <c r="K24" i="1"/>
  <c r="H9" i="4"/>
  <c r="V24" i="1"/>
  <c r="P24" i="1"/>
  <c r="P46" i="1" s="1"/>
  <c r="W12" i="1"/>
  <c r="B18" i="4"/>
  <c r="C18" i="4"/>
  <c r="C22" i="3"/>
  <c r="C25" i="3" s="1"/>
  <c r="C27" i="3" s="1"/>
  <c r="W24" i="1" l="1"/>
  <c r="B46" i="1"/>
  <c r="B47" i="1" s="1"/>
  <c r="J27" i="1"/>
  <c r="B52" i="1"/>
  <c r="L22" i="3"/>
  <c r="L25" i="3" s="1"/>
  <c r="L27" i="3" s="1"/>
  <c r="L9" i="4"/>
  <c r="E9" i="4"/>
  <c r="F9" i="4"/>
  <c r="F16" i="4" s="1"/>
  <c r="P18" i="4"/>
  <c r="O9" i="4"/>
  <c r="F22" i="3"/>
  <c r="F25" i="3" s="1"/>
  <c r="F27" i="3" s="1"/>
  <c r="G18" i="4"/>
  <c r="S18" i="4"/>
  <c r="J22" i="3"/>
  <c r="J25" i="3" s="1"/>
  <c r="J27" i="3" s="1"/>
  <c r="J51" i="1"/>
  <c r="J52" i="1" s="1"/>
  <c r="K24" i="3"/>
  <c r="K39" i="3"/>
  <c r="K22" i="3"/>
  <c r="I9" i="4"/>
  <c r="I16" i="4" s="1"/>
  <c r="I21" i="4" s="1"/>
  <c r="H27" i="1"/>
  <c r="S25" i="3"/>
  <c r="S27" i="3" s="1"/>
  <c r="B13" i="3"/>
  <c r="Y10" i="4"/>
  <c r="Z10" i="4" s="1"/>
  <c r="X26" i="3"/>
  <c r="Y26" i="3" s="1"/>
  <c r="C9" i="4"/>
  <c r="C16" i="4" s="1"/>
  <c r="C21" i="4" s="1"/>
  <c r="B14" i="4"/>
  <c r="B20" i="4" s="1"/>
  <c r="W49" i="1"/>
  <c r="Q9" i="4"/>
  <c r="Q16" i="4" s="1"/>
  <c r="Q21" i="4" s="1"/>
  <c r="R16" i="4"/>
  <c r="R21" i="4" s="1"/>
  <c r="T15" i="3"/>
  <c r="T18" i="3"/>
  <c r="U27" i="1"/>
  <c r="U57" i="1" s="1"/>
  <c r="U18" i="3"/>
  <c r="X9" i="4"/>
  <c r="X16" i="4" s="1"/>
  <c r="M27" i="1"/>
  <c r="M47" i="1" s="1"/>
  <c r="M9" i="4"/>
  <c r="V15" i="3"/>
  <c r="E18" i="3"/>
  <c r="E27" i="1"/>
  <c r="E47" i="1" s="1"/>
  <c r="B22" i="3"/>
  <c r="R15" i="3"/>
  <c r="O27" i="1"/>
  <c r="J15" i="3"/>
  <c r="T27" i="1"/>
  <c r="T47" i="1" s="1"/>
  <c r="B9" i="4"/>
  <c r="B18" i="3"/>
  <c r="X18" i="4"/>
  <c r="U25" i="3"/>
  <c r="U27" i="3" s="1"/>
  <c r="W18" i="4"/>
  <c r="T25" i="3"/>
  <c r="T27" i="3" s="1"/>
  <c r="V22" i="3"/>
  <c r="V25" i="3" s="1"/>
  <c r="V27" i="3" s="1"/>
  <c r="E16" i="4"/>
  <c r="X13" i="3"/>
  <c r="H16" i="4"/>
  <c r="G18" i="3"/>
  <c r="V27" i="1"/>
  <c r="V51" i="1" s="1"/>
  <c r="V52" i="1" s="1"/>
  <c r="L18" i="3"/>
  <c r="H18" i="3"/>
  <c r="I15" i="3"/>
  <c r="D27" i="1"/>
  <c r="D47" i="1" s="1"/>
  <c r="F18" i="4"/>
  <c r="L27" i="1"/>
  <c r="C15" i="3"/>
  <c r="D9" i="4"/>
  <c r="D16" i="4" s="1"/>
  <c r="K18" i="3"/>
  <c r="I27" i="1"/>
  <c r="D18" i="4"/>
  <c r="N18" i="3"/>
  <c r="K27" i="1"/>
  <c r="K47" i="1" s="1"/>
  <c r="G22" i="3"/>
  <c r="G25" i="3" s="1"/>
  <c r="G27" i="3" s="1"/>
  <c r="W22" i="3"/>
  <c r="W25" i="3" s="1"/>
  <c r="W27" i="3" s="1"/>
  <c r="R22" i="3"/>
  <c r="R25" i="3" s="1"/>
  <c r="R27" i="3" s="1"/>
  <c r="O22" i="3"/>
  <c r="O25" i="3" s="1"/>
  <c r="O27" i="3" s="1"/>
  <c r="D22" i="3"/>
  <c r="D25" i="3" s="1"/>
  <c r="D27" i="3" s="1"/>
  <c r="E22" i="3"/>
  <c r="E25" i="3" s="1"/>
  <c r="E27" i="3" s="1"/>
  <c r="E18" i="4"/>
  <c r="E21" i="4" s="1"/>
  <c r="G9" i="4"/>
  <c r="F18" i="3"/>
  <c r="G27" i="1"/>
  <c r="P18" i="3"/>
  <c r="I22" i="3"/>
  <c r="I25" i="3" s="1"/>
  <c r="I27" i="3" s="1"/>
  <c r="N22" i="3"/>
  <c r="N25" i="3" s="1"/>
  <c r="N27" i="3" s="1"/>
  <c r="H22" i="3"/>
  <c r="H25" i="3" s="1"/>
  <c r="H27" i="3" s="1"/>
  <c r="F27" i="1"/>
  <c r="S27" i="1"/>
  <c r="S47" i="1" s="1"/>
  <c r="O16" i="4"/>
  <c r="O21" i="4" s="1"/>
  <c r="W18" i="3"/>
  <c r="F15" i="3"/>
  <c r="Q27" i="1"/>
  <c r="Q47" i="1" s="1"/>
  <c r="W9" i="1"/>
  <c r="H18" i="4"/>
  <c r="H21" i="4" s="1"/>
  <c r="E57" i="1"/>
  <c r="S16" i="4"/>
  <c r="S21" i="4" s="1"/>
  <c r="O18" i="3"/>
  <c r="E15" i="3"/>
  <c r="H47" i="1"/>
  <c r="H57" i="1"/>
  <c r="C57" i="1"/>
  <c r="C47" i="1"/>
  <c r="D15" i="3"/>
  <c r="D18" i="3"/>
  <c r="J47" i="1"/>
  <c r="J57" i="1"/>
  <c r="L16" i="4"/>
  <c r="L21" i="4" s="1"/>
  <c r="K16" i="4"/>
  <c r="H51" i="1"/>
  <c r="H52" i="1" s="1"/>
  <c r="P9" i="4"/>
  <c r="P27" i="1"/>
  <c r="P47" i="1" s="1"/>
  <c r="W16" i="4"/>
  <c r="U51" i="1"/>
  <c r="U52" i="1" s="1"/>
  <c r="G51" i="1" l="1"/>
  <c r="G52" i="1" s="1"/>
  <c r="L51" i="1"/>
  <c r="L52" i="1" s="1"/>
  <c r="Y14" i="4"/>
  <c r="B57" i="1"/>
  <c r="I47" i="1"/>
  <c r="F47" i="1"/>
  <c r="O47" i="1"/>
  <c r="B24" i="3"/>
  <c r="X24" i="3" s="1"/>
  <c r="B39" i="3"/>
  <c r="X39" i="3" s="1"/>
  <c r="Y39" i="3" s="1"/>
  <c r="U15" i="3"/>
  <c r="W21" i="4"/>
  <c r="Y13" i="3"/>
  <c r="K21" i="4"/>
  <c r="D21" i="4"/>
  <c r="X21" i="4"/>
  <c r="F21" i="4"/>
  <c r="Z14" i="4"/>
  <c r="Y20" i="4"/>
  <c r="K25" i="3"/>
  <c r="K27" i="3" s="1"/>
  <c r="Q18" i="3"/>
  <c r="Q15" i="3"/>
  <c r="B16" i="4"/>
  <c r="B21" i="4" s="1"/>
  <c r="M57" i="1"/>
  <c r="V18" i="3"/>
  <c r="U47" i="1"/>
  <c r="M16" i="4"/>
  <c r="M21" i="4" s="1"/>
  <c r="H15" i="3"/>
  <c r="R18" i="3"/>
  <c r="E51" i="1"/>
  <c r="E52" i="1" s="1"/>
  <c r="M51" i="1"/>
  <c r="M52" i="1" s="1"/>
  <c r="W15" i="3"/>
  <c r="T57" i="1"/>
  <c r="J18" i="3"/>
  <c r="P15" i="3"/>
  <c r="O51" i="1"/>
  <c r="O52" i="1" s="1"/>
  <c r="O57" i="1"/>
  <c r="G16" i="4"/>
  <c r="G21" i="4" s="1"/>
  <c r="N15" i="3"/>
  <c r="T51" i="1"/>
  <c r="T52" i="1" s="1"/>
  <c r="S18" i="3"/>
  <c r="S15" i="3"/>
  <c r="D51" i="1"/>
  <c r="D52" i="1" s="1"/>
  <c r="B15" i="3"/>
  <c r="V57" i="1"/>
  <c r="V47" i="1"/>
  <c r="C18" i="3"/>
  <c r="O15" i="3"/>
  <c r="K15" i="3"/>
  <c r="L15" i="3"/>
  <c r="M15" i="3"/>
  <c r="G15" i="3"/>
  <c r="Q57" i="1"/>
  <c r="Q51" i="1"/>
  <c r="Q52" i="1" s="1"/>
  <c r="L57" i="1"/>
  <c r="I51" i="1"/>
  <c r="I52" i="1" s="1"/>
  <c r="N16" i="4"/>
  <c r="N21" i="4" s="1"/>
  <c r="F51" i="1"/>
  <c r="F52" i="1" s="1"/>
  <c r="K57" i="1"/>
  <c r="D57" i="1"/>
  <c r="I18" i="3"/>
  <c r="G57" i="1"/>
  <c r="K51" i="1"/>
  <c r="K52" i="1" s="1"/>
  <c r="P57" i="1"/>
  <c r="S57" i="1"/>
  <c r="F57" i="1"/>
  <c r="P16" i="4"/>
  <c r="P21" i="4" s="1"/>
  <c r="S51" i="1"/>
  <c r="S52" i="1" s="1"/>
  <c r="L47" i="1"/>
  <c r="X22" i="3"/>
  <c r="G47" i="1"/>
  <c r="W46" i="1"/>
  <c r="W57" i="1" s="1"/>
  <c r="P51" i="1"/>
  <c r="P52" i="1" s="1"/>
  <c r="Y18" i="4"/>
  <c r="X9" i="3"/>
  <c r="X15" i="3" s="1"/>
  <c r="W27" i="1"/>
  <c r="Y9" i="4"/>
  <c r="Y16" i="4" l="1"/>
  <c r="B25" i="3"/>
  <c r="B27" i="3" s="1"/>
  <c r="X27" i="3" s="1"/>
  <c r="Y21" i="4"/>
  <c r="X18" i="3"/>
  <c r="W51" i="1"/>
  <c r="W50" i="1"/>
  <c r="W52" i="1"/>
  <c r="W47" i="1"/>
  <c r="X25" i="3" l="1"/>
</calcChain>
</file>

<file path=xl/sharedStrings.xml><?xml version="1.0" encoding="utf-8"?>
<sst xmlns="http://schemas.openxmlformats.org/spreadsheetml/2006/main" count="232" uniqueCount="96">
  <si>
    <t>General/Special Revenue Funds</t>
  </si>
  <si>
    <t>Capital Project Funds</t>
  </si>
  <si>
    <t>Debt Service Fund</t>
  </si>
  <si>
    <t>General Fund</t>
  </si>
  <si>
    <t>Confiscated Assets Fund</t>
  </si>
  <si>
    <t>E-911 Fund</t>
  </si>
  <si>
    <t>Tree Bank Fund</t>
  </si>
  <si>
    <t>Soil Erosion Fund</t>
  </si>
  <si>
    <t>Cemetery Care Fund</t>
  </si>
  <si>
    <t>Leita Thompson Fund</t>
  </si>
  <si>
    <t>Hotel / Motel Fund</t>
  </si>
  <si>
    <t>Solid Waste Fund</t>
  </si>
  <si>
    <t>Water and Sewer Fund</t>
  </si>
  <si>
    <t>Recreation Participation and Special Events Fund</t>
  </si>
  <si>
    <t>Group Benefits Fund</t>
  </si>
  <si>
    <t>Risk / Liability Fund</t>
  </si>
  <si>
    <t>Worker's Comp Fund</t>
  </si>
  <si>
    <t>Impact Fee Fund</t>
  </si>
  <si>
    <t>Capital Project Fund</t>
  </si>
  <si>
    <t>Total Revenues</t>
  </si>
  <si>
    <t>Property Tax</t>
  </si>
  <si>
    <t>Licenses &amp; Permits</t>
  </si>
  <si>
    <t>Intergovernmental</t>
  </si>
  <si>
    <t>Fines &amp; Forfeitures</t>
  </si>
  <si>
    <t>Interest Income</t>
  </si>
  <si>
    <t>Miscellaneous Revenues</t>
  </si>
  <si>
    <t>Transfers In</t>
  </si>
  <si>
    <t>Employee Contribution</t>
  </si>
  <si>
    <t>Employer Contribution</t>
  </si>
  <si>
    <t>E - 911 Fund</t>
  </si>
  <si>
    <t>Total Expenditures</t>
  </si>
  <si>
    <t>Administration</t>
  </si>
  <si>
    <t>Community Development</t>
  </si>
  <si>
    <t>Environmental/ Public Works</t>
  </si>
  <si>
    <t>Finance</t>
  </si>
  <si>
    <t>Fire</t>
  </si>
  <si>
    <t>Police</t>
  </si>
  <si>
    <t>Recreation and Parks</t>
  </si>
  <si>
    <t>Transportation</t>
  </si>
  <si>
    <t>Total Balanced Budget</t>
  </si>
  <si>
    <t>Sales Tax</t>
  </si>
  <si>
    <t>Franchise, Alcohol, Business / Insurance Taxes</t>
  </si>
  <si>
    <t>Transfer to Capital</t>
  </si>
  <si>
    <t>Internal Service Funds</t>
  </si>
  <si>
    <t>Totals</t>
  </si>
  <si>
    <t>City-Wide Costs</t>
  </si>
  <si>
    <t>Enterprise Funds</t>
  </si>
  <si>
    <t>Charges for Service - External</t>
  </si>
  <si>
    <t>Charges for Service - Internal</t>
  </si>
  <si>
    <t>Contingency/Other</t>
  </si>
  <si>
    <t>Total Use of Funds</t>
  </si>
  <si>
    <t>Source of Funds
Revenues</t>
  </si>
  <si>
    <t>Use of Funds
Expenditures</t>
  </si>
  <si>
    <r>
      <t xml:space="preserve">Budgeted Use of Reserves </t>
    </r>
    <r>
      <rPr>
        <sz val="10"/>
        <color indexed="8"/>
        <rFont val="Georgia"/>
        <family val="1"/>
      </rPr>
      <t>(prior yr revenues)</t>
    </r>
  </si>
  <si>
    <t>Federal Grant Funds</t>
  </si>
  <si>
    <t>Total Source of Funds</t>
  </si>
  <si>
    <t>Stormwater Utility Fund</t>
  </si>
  <si>
    <t>Base Budgets</t>
  </si>
  <si>
    <t>New Initiative Requests</t>
  </si>
  <si>
    <t>Maintenance Capital Requests</t>
  </si>
  <si>
    <t>Total Operating and Maintenance Capital Expenditures:</t>
  </si>
  <si>
    <t>Current Year Revenues - Operating and Maintenance Capital Requests</t>
  </si>
  <si>
    <r>
      <t xml:space="preserve">Requests </t>
    </r>
    <r>
      <rPr>
        <b/>
        <sz val="12"/>
        <color indexed="10"/>
        <rFont val="Georgia"/>
        <family val="1"/>
      </rPr>
      <t>(OVER)</t>
    </r>
    <r>
      <rPr>
        <b/>
        <sz val="12"/>
        <color indexed="8"/>
        <rFont val="Georgia"/>
        <family val="1"/>
      </rPr>
      <t xml:space="preserve"> / Under Revenues:</t>
    </r>
  </si>
  <si>
    <t>Use of Reserves - One-Time Capital Requests</t>
  </si>
  <si>
    <t>Impact Fee Fund - Rec/Pks</t>
  </si>
  <si>
    <t>Impact Fee Fund - Transportation</t>
  </si>
  <si>
    <t>Impact Fee Fund - Fire</t>
  </si>
  <si>
    <t>Total Requests</t>
  </si>
  <si>
    <t>Current Year Revenue Currently Available over Base Budget for New Initiatives and Maintenance Capital</t>
  </si>
  <si>
    <t>FY 13 BUDGET REQUEST SUMMARY - PRESENTED AS "CURRENT YEAR REVENUES WILL FUND CURRENT YEAR OPERATING AND MAINTENANCE CAPITAL" FOR ALL FUNDS</t>
  </si>
  <si>
    <t>FY 12 Budgeted Use of Fund Balance:</t>
  </si>
  <si>
    <t xml:space="preserve">FY 13 Estimated Beginning Available Fund Balance:   </t>
  </si>
  <si>
    <t>FY 13 Fund Balance Reserve by Policy:</t>
  </si>
  <si>
    <t xml:space="preserve">FY 13 Estimated Ending Fund Balance Available over the Reserve by Policy:   </t>
  </si>
  <si>
    <t xml:space="preserve">FY 13 Total Estimated Ending Available Fund Balance:   </t>
  </si>
  <si>
    <t>FY 13 BUDGET REQUEST SUMMARY - ALL REQUESTS - ALL FUNDS</t>
  </si>
  <si>
    <t>Available Fund Balance from FY 2011 CAFR:</t>
  </si>
  <si>
    <t>FY 2013 One-Time Capital Requests:</t>
  </si>
  <si>
    <t xml:space="preserve">FY 13 Estimated Fund Balance Available over the Reserve by Policy:   </t>
  </si>
  <si>
    <t xml:space="preserve">FY 13 Estimated Fund Balance Available over Reserve by Policy after FY 13 OTC:   </t>
  </si>
  <si>
    <t>FY 2014-2017 One-Time Capital Requests:</t>
  </si>
  <si>
    <t>Fleet Services Fund</t>
  </si>
  <si>
    <t>CDBG Grant Funds</t>
  </si>
  <si>
    <r>
      <t xml:space="preserve">Excess </t>
    </r>
    <r>
      <rPr>
        <b/>
        <sz val="11"/>
        <color rgb="FFFF0000"/>
        <rFont val="Georgia"/>
        <family val="1"/>
      </rPr>
      <t>(Deficiency)</t>
    </r>
    <r>
      <rPr>
        <b/>
        <sz val="11"/>
        <color indexed="8"/>
        <rFont val="Georgia"/>
        <family val="1"/>
      </rPr>
      <t xml:space="preserve"> of revenues vs expenditures</t>
    </r>
  </si>
  <si>
    <r>
      <t>FY 13 Estimated Increase /</t>
    </r>
    <r>
      <rPr>
        <b/>
        <sz val="12"/>
        <color rgb="FFFF0000"/>
        <rFont val="Georgia"/>
        <family val="1"/>
      </rPr>
      <t xml:space="preserve"> (Decrease)</t>
    </r>
    <r>
      <rPr>
        <b/>
        <sz val="12"/>
        <color indexed="8"/>
        <rFont val="Georgia"/>
        <family val="1"/>
      </rPr>
      <t xml:space="preserve"> in Fund Balance:</t>
    </r>
  </si>
  <si>
    <t>FY 13 Fund Balance Reserve by Policy assuming ALL FY13 requests are funded:</t>
  </si>
  <si>
    <t xml:space="preserve">FY 13 Estimated Fund Balance Available over the Reserve by Policy if ALL FY13 requests are funded:   </t>
  </si>
  <si>
    <t>Base Budget Requests:</t>
  </si>
  <si>
    <t>New Initiative Requests:</t>
  </si>
  <si>
    <t>Hotel / Motel Fund - Trails Only</t>
  </si>
  <si>
    <t>Hotel / Motel Fund Unrestricted and Restricted</t>
  </si>
  <si>
    <t>FY13 Maintenance Capital Requests:</t>
  </si>
  <si>
    <t>FY13 One-Time Capital Requests:</t>
  </si>
  <si>
    <t>TOTAL REQUESTS:</t>
  </si>
  <si>
    <t>Proceeds from Other Financing Options</t>
  </si>
  <si>
    <r>
      <t xml:space="preserve">                           FY 2013 Approved Budget - "Schedule A"</t>
    </r>
    <r>
      <rPr>
        <b/>
        <i/>
        <sz val="22"/>
        <color indexed="8"/>
        <rFont val="Georgia"/>
        <family val="1"/>
      </rPr>
      <t xml:space="preserve">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</si>
</sst>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31" x14ac:knownFonts="1">
    <font>
      <sz val="10"/>
      <name val="Arial"/>
    </font>
    <font>
      <sz val="10"/>
      <name val="Arial"/>
      <family val="2"/>
    </font>
    <font>
      <sz val="12"/>
      <color indexed="8"/>
      <name val="Georgia"/>
      <family val="1"/>
    </font>
    <font>
      <b/>
      <sz val="20"/>
      <color indexed="8"/>
      <name val="Georgia"/>
      <family val="1"/>
    </font>
    <font>
      <b/>
      <sz val="22"/>
      <color indexed="8"/>
      <name val="Georgia"/>
      <family val="1"/>
    </font>
    <font>
      <b/>
      <i/>
      <sz val="22"/>
      <color indexed="8"/>
      <name val="Georgia"/>
      <family val="1"/>
    </font>
    <font>
      <b/>
      <sz val="18"/>
      <color indexed="8"/>
      <name val="Georgia"/>
      <family val="1"/>
    </font>
    <font>
      <sz val="10"/>
      <color indexed="8"/>
      <name val="Georgia"/>
      <family val="1"/>
    </font>
    <font>
      <b/>
      <sz val="12"/>
      <color indexed="8"/>
      <name val="Georgia"/>
      <family val="1"/>
    </font>
    <font>
      <sz val="8"/>
      <color indexed="8"/>
      <name val="Georgia"/>
      <family val="1"/>
    </font>
    <font>
      <b/>
      <sz val="10"/>
      <color indexed="8"/>
      <name val="Georgia"/>
      <family val="1"/>
    </font>
    <font>
      <b/>
      <sz val="11"/>
      <color indexed="8"/>
      <name val="Georgia"/>
      <family val="1"/>
    </font>
    <font>
      <b/>
      <sz val="16"/>
      <color indexed="8"/>
      <name val="Georgia"/>
      <family val="1"/>
    </font>
    <font>
      <sz val="24"/>
      <color indexed="8"/>
      <name val="Georgia"/>
      <family val="1"/>
    </font>
    <font>
      <b/>
      <sz val="14"/>
      <color indexed="8"/>
      <name val="Georgia"/>
      <family val="1"/>
    </font>
    <font>
      <b/>
      <sz val="12.5"/>
      <color indexed="8"/>
      <name val="Georgia"/>
      <family val="1"/>
    </font>
    <font>
      <b/>
      <sz val="26"/>
      <color indexed="10"/>
      <name val="Georgia"/>
      <family val="1"/>
    </font>
    <font>
      <b/>
      <sz val="10"/>
      <name val="Arial"/>
      <family val="2"/>
    </font>
    <font>
      <b/>
      <i/>
      <sz val="18"/>
      <color indexed="10"/>
      <name val="Georgia"/>
      <family val="1"/>
    </font>
    <font>
      <b/>
      <sz val="12"/>
      <color indexed="10"/>
      <name val="Georgia"/>
      <family val="1"/>
    </font>
    <font>
      <b/>
      <sz val="24"/>
      <color indexed="10"/>
      <name val="Georgia"/>
      <family val="1"/>
    </font>
    <font>
      <sz val="24"/>
      <name val="Arial"/>
      <family val="2"/>
    </font>
    <font>
      <b/>
      <sz val="23"/>
      <color indexed="10"/>
      <name val="Georgia"/>
      <family val="1"/>
    </font>
    <font>
      <sz val="23"/>
      <name val="Arial"/>
      <family val="2"/>
    </font>
    <font>
      <b/>
      <i/>
      <sz val="14"/>
      <color indexed="8"/>
      <name val="Georgia"/>
      <family val="1"/>
    </font>
    <font>
      <b/>
      <sz val="16"/>
      <color indexed="10"/>
      <name val="Georgia"/>
      <family val="1"/>
    </font>
    <font>
      <b/>
      <sz val="12"/>
      <name val="Arial"/>
      <family val="2"/>
    </font>
    <font>
      <sz val="11"/>
      <color indexed="8"/>
      <name val="Georgia"/>
      <family val="1"/>
    </font>
    <font>
      <b/>
      <sz val="11"/>
      <color rgb="FFFF0000"/>
      <name val="Georgia"/>
      <family val="1"/>
    </font>
    <font>
      <b/>
      <sz val="12"/>
      <color rgb="FFFF0000"/>
      <name val="Georgia"/>
      <family val="1"/>
    </font>
    <font>
      <sz val="14"/>
      <color rgb="FFFF0000"/>
      <name val="Georgia"/>
      <family val="1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4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45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9">
    <xf numFmtId="0" fontId="0" fillId="0" borderId="0" xfId="0"/>
    <xf numFmtId="6" fontId="2" fillId="2" borderId="1" xfId="0" applyNumberFormat="1" applyFont="1" applyFill="1" applyBorder="1" applyAlignment="1"/>
    <xf numFmtId="6" fontId="2" fillId="0" borderId="0" xfId="0" applyNumberFormat="1" applyFont="1" applyAlignment="1"/>
    <xf numFmtId="6" fontId="6" fillId="0" borderId="0" xfId="0" applyNumberFormat="1" applyFont="1" applyAlignment="1">
      <alignment horizontal="left" wrapText="1"/>
    </xf>
    <xf numFmtId="6" fontId="7" fillId="0" borderId="0" xfId="0" applyNumberFormat="1" applyFont="1" applyAlignment="1">
      <alignment horizontal="center" wrapText="1"/>
    </xf>
    <xf numFmtId="6" fontId="7" fillId="0" borderId="0" xfId="0" applyNumberFormat="1" applyFont="1" applyAlignment="1">
      <alignment wrapText="1"/>
    </xf>
    <xf numFmtId="6" fontId="6" fillId="0" borderId="0" xfId="0" applyNumberFormat="1" applyFont="1" applyAlignment="1">
      <alignment horizontal="left"/>
    </xf>
    <xf numFmtId="6" fontId="8" fillId="0" borderId="0" xfId="0" applyNumberFormat="1" applyFont="1" applyAlignment="1">
      <alignment horizontal="center"/>
    </xf>
    <xf numFmtId="6" fontId="8" fillId="3" borderId="0" xfId="0" applyNumberFormat="1" applyFont="1" applyFill="1" applyAlignment="1">
      <alignment horizontal="center"/>
    </xf>
    <xf numFmtId="6" fontId="8" fillId="0" borderId="0" xfId="0" applyNumberFormat="1" applyFont="1" applyAlignment="1">
      <alignment horizontal="center" wrapText="1"/>
    </xf>
    <xf numFmtId="6" fontId="8" fillId="2" borderId="0" xfId="0" applyNumberFormat="1" applyFont="1" applyFill="1" applyAlignment="1">
      <alignment horizontal="center"/>
    </xf>
    <xf numFmtId="6" fontId="9" fillId="0" borderId="0" xfId="0" applyNumberFormat="1" applyFont="1" applyAlignment="1">
      <alignment wrapText="1"/>
    </xf>
    <xf numFmtId="6" fontId="9" fillId="0" borderId="2" xfId="0" applyNumberFormat="1" applyFont="1" applyBorder="1" applyAlignment="1"/>
    <xf numFmtId="6" fontId="7" fillId="0" borderId="2" xfId="0" applyNumberFormat="1" applyFont="1" applyBorder="1" applyAlignment="1"/>
    <xf numFmtId="6" fontId="9" fillId="2" borderId="2" xfId="0" applyNumberFormat="1" applyFont="1" applyFill="1" applyBorder="1" applyAlignment="1"/>
    <xf numFmtId="6" fontId="7" fillId="0" borderId="0" xfId="0" applyNumberFormat="1" applyFont="1" applyAlignment="1"/>
    <xf numFmtId="6" fontId="8" fillId="4" borderId="3" xfId="0" applyNumberFormat="1" applyFont="1" applyFill="1" applyBorder="1" applyAlignment="1">
      <alignment horizontal="center" wrapText="1"/>
    </xf>
    <xf numFmtId="6" fontId="8" fillId="0" borderId="4" xfId="0" applyNumberFormat="1" applyFont="1" applyBorder="1" applyAlignment="1">
      <alignment horizontal="center"/>
    </xf>
    <xf numFmtId="6" fontId="8" fillId="0" borderId="0" xfId="0" applyNumberFormat="1" applyFont="1" applyAlignment="1"/>
    <xf numFmtId="6" fontId="13" fillId="0" borderId="2" xfId="0" applyNumberFormat="1" applyFont="1" applyBorder="1" applyAlignment="1">
      <alignment wrapText="1"/>
    </xf>
    <xf numFmtId="6" fontId="2" fillId="5" borderId="5" xfId="0" applyNumberFormat="1" applyFont="1" applyFill="1" applyBorder="1" applyAlignment="1">
      <alignment horizontal="center" wrapText="1"/>
    </xf>
    <xf numFmtId="6" fontId="2" fillId="5" borderId="2" xfId="0" applyNumberFormat="1" applyFont="1" applyFill="1" applyBorder="1" applyAlignment="1">
      <alignment horizontal="center" wrapText="1"/>
    </xf>
    <xf numFmtId="6" fontId="2" fillId="5" borderId="6" xfId="0" applyNumberFormat="1" applyFont="1" applyFill="1" applyBorder="1" applyAlignment="1">
      <alignment horizontal="center" wrapText="1"/>
    </xf>
    <xf numFmtId="6" fontId="2" fillId="6" borderId="5" xfId="0" applyNumberFormat="1" applyFont="1" applyFill="1" applyBorder="1" applyAlignment="1">
      <alignment horizontal="center" wrapText="1"/>
    </xf>
    <xf numFmtId="6" fontId="2" fillId="6" borderId="2" xfId="0" applyNumberFormat="1" applyFont="1" applyFill="1" applyBorder="1" applyAlignment="1">
      <alignment horizontal="center" wrapText="1"/>
    </xf>
    <xf numFmtId="6" fontId="2" fillId="6" borderId="6" xfId="0" applyNumberFormat="1" applyFont="1" applyFill="1" applyBorder="1" applyAlignment="1">
      <alignment horizontal="center" wrapText="1"/>
    </xf>
    <xf numFmtId="6" fontId="2" fillId="7" borderId="2" xfId="0" applyNumberFormat="1" applyFont="1" applyFill="1" applyBorder="1" applyAlignment="1">
      <alignment horizontal="center" wrapText="1"/>
    </xf>
    <xf numFmtId="6" fontId="2" fillId="7" borderId="6" xfId="0" applyNumberFormat="1" applyFont="1" applyFill="1" applyBorder="1" applyAlignment="1">
      <alignment horizontal="center" wrapText="1"/>
    </xf>
    <xf numFmtId="6" fontId="2" fillId="2" borderId="2" xfId="0" applyNumberFormat="1" applyFont="1" applyFill="1" applyBorder="1" applyAlignment="1">
      <alignment horizontal="center" wrapText="1"/>
    </xf>
    <xf numFmtId="6" fontId="2" fillId="2" borderId="6" xfId="0" applyNumberFormat="1" applyFont="1" applyFill="1" applyBorder="1" applyAlignment="1">
      <alignment horizontal="center" wrapText="1"/>
    </xf>
    <xf numFmtId="6" fontId="2" fillId="4" borderId="7" xfId="0" applyNumberFormat="1" applyFont="1" applyFill="1" applyBorder="1" applyAlignment="1">
      <alignment horizontal="center" wrapText="1"/>
    </xf>
    <xf numFmtId="6" fontId="14" fillId="0" borderId="2" xfId="0" applyNumberFormat="1" applyFont="1" applyBorder="1" applyAlignment="1">
      <alignment horizontal="center" wrapText="1"/>
    </xf>
    <xf numFmtId="6" fontId="7" fillId="0" borderId="2" xfId="0" applyNumberFormat="1" applyFont="1" applyBorder="1" applyAlignment="1">
      <alignment wrapText="1"/>
    </xf>
    <xf numFmtId="6" fontId="2" fillId="0" borderId="1" xfId="0" applyNumberFormat="1" applyFont="1" applyBorder="1" applyAlignment="1">
      <alignment wrapText="1"/>
    </xf>
    <xf numFmtId="6" fontId="2" fillId="5" borderId="1" xfId="0" applyNumberFormat="1" applyFont="1" applyFill="1" applyBorder="1" applyAlignment="1"/>
    <xf numFmtId="6" fontId="2" fillId="5" borderId="8" xfId="0" applyNumberFormat="1" applyFont="1" applyFill="1" applyBorder="1" applyAlignment="1"/>
    <xf numFmtId="6" fontId="2" fillId="6" borderId="9" xfId="0" applyNumberFormat="1" applyFont="1" applyFill="1" applyBorder="1" applyAlignment="1"/>
    <xf numFmtId="6" fontId="2" fillId="6" borderId="1" xfId="0" applyNumberFormat="1" applyFont="1" applyFill="1" applyBorder="1" applyAlignment="1"/>
    <xf numFmtId="6" fontId="2" fillId="6" borderId="8" xfId="0" applyNumberFormat="1" applyFont="1" applyFill="1" applyBorder="1" applyAlignment="1"/>
    <xf numFmtId="6" fontId="2" fillId="7" borderId="1" xfId="0" applyNumberFormat="1" applyFont="1" applyFill="1" applyBorder="1" applyAlignment="1"/>
    <xf numFmtId="6" fontId="2" fillId="7" borderId="8" xfId="0" applyNumberFormat="1" applyFont="1" applyFill="1" applyBorder="1" applyAlignment="1"/>
    <xf numFmtId="6" fontId="2" fillId="4" borderId="10" xfId="0" applyNumberFormat="1" applyFont="1" applyFill="1" applyBorder="1" applyAlignment="1"/>
    <xf numFmtId="6" fontId="2" fillId="0" borderId="11" xfId="0" applyNumberFormat="1" applyFont="1" applyBorder="1" applyAlignment="1">
      <alignment wrapText="1"/>
    </xf>
    <xf numFmtId="6" fontId="2" fillId="5" borderId="12" xfId="0" applyNumberFormat="1" applyFont="1" applyFill="1" applyBorder="1" applyAlignment="1"/>
    <xf numFmtId="6" fontId="2" fillId="5" borderId="11" xfId="0" applyNumberFormat="1" applyFont="1" applyFill="1" applyBorder="1" applyAlignment="1"/>
    <xf numFmtId="6" fontId="2" fillId="5" borderId="13" xfId="0" applyNumberFormat="1" applyFont="1" applyFill="1" applyBorder="1" applyAlignment="1"/>
    <xf numFmtId="6" fontId="2" fillId="6" borderId="12" xfId="0" applyNumberFormat="1" applyFont="1" applyFill="1" applyBorder="1" applyAlignment="1"/>
    <xf numFmtId="6" fontId="2" fillId="6" borderId="11" xfId="0" applyNumberFormat="1" applyFont="1" applyFill="1" applyBorder="1" applyAlignment="1"/>
    <xf numFmtId="6" fontId="2" fillId="6" borderId="13" xfId="0" applyNumberFormat="1" applyFont="1" applyFill="1" applyBorder="1" applyAlignment="1"/>
    <xf numFmtId="6" fontId="2" fillId="7" borderId="11" xfId="0" applyNumberFormat="1" applyFont="1" applyFill="1" applyBorder="1" applyAlignment="1"/>
    <xf numFmtId="6" fontId="2" fillId="7" borderId="13" xfId="0" applyNumberFormat="1" applyFont="1" applyFill="1" applyBorder="1" applyAlignment="1"/>
    <xf numFmtId="6" fontId="2" fillId="2" borderId="11" xfId="0" applyNumberFormat="1" applyFont="1" applyFill="1" applyBorder="1" applyAlignment="1"/>
    <xf numFmtId="6" fontId="2" fillId="4" borderId="14" xfId="0" applyNumberFormat="1" applyFont="1" applyFill="1" applyBorder="1" applyAlignment="1"/>
    <xf numFmtId="6" fontId="15" fillId="0" borderId="11" xfId="0" applyNumberFormat="1" applyFont="1" applyBorder="1" applyAlignment="1"/>
    <xf numFmtId="6" fontId="7" fillId="6" borderId="15" xfId="0" applyNumberFormat="1" applyFont="1" applyFill="1" applyBorder="1" applyAlignment="1"/>
    <xf numFmtId="6" fontId="7" fillId="7" borderId="0" xfId="0" applyNumberFormat="1" applyFont="1" applyFill="1" applyBorder="1" applyAlignment="1"/>
    <xf numFmtId="6" fontId="7" fillId="7" borderId="15" xfId="0" applyNumberFormat="1" applyFont="1" applyFill="1" applyBorder="1" applyAlignment="1"/>
    <xf numFmtId="6" fontId="2" fillId="5" borderId="16" xfId="0" applyNumberFormat="1" applyFont="1" applyFill="1" applyBorder="1" applyAlignment="1"/>
    <xf numFmtId="6" fontId="2" fillId="5" borderId="17" xfId="0" applyNumberFormat="1" applyFont="1" applyFill="1" applyBorder="1" applyAlignment="1"/>
    <xf numFmtId="6" fontId="2" fillId="6" borderId="18" xfId="0" applyNumberFormat="1" applyFont="1" applyFill="1" applyBorder="1" applyAlignment="1"/>
    <xf numFmtId="6" fontId="2" fillId="6" borderId="16" xfId="0" applyNumberFormat="1" applyFont="1" applyFill="1" applyBorder="1" applyAlignment="1"/>
    <xf numFmtId="6" fontId="2" fillId="6" borderId="17" xfId="0" applyNumberFormat="1" applyFont="1" applyFill="1" applyBorder="1" applyAlignment="1"/>
    <xf numFmtId="6" fontId="2" fillId="7" borderId="16" xfId="0" applyNumberFormat="1" applyFont="1" applyFill="1" applyBorder="1" applyAlignment="1"/>
    <xf numFmtId="6" fontId="2" fillId="7" borderId="17" xfId="0" applyNumberFormat="1" applyFont="1" applyFill="1" applyBorder="1" applyAlignment="1"/>
    <xf numFmtId="6" fontId="2" fillId="2" borderId="16" xfId="0" applyNumberFormat="1" applyFont="1" applyFill="1" applyBorder="1" applyAlignment="1"/>
    <xf numFmtId="6" fontId="2" fillId="4" borderId="19" xfId="0" applyNumberFormat="1" applyFont="1" applyFill="1" applyBorder="1" applyAlignment="1"/>
    <xf numFmtId="6" fontId="7" fillId="0" borderId="0" xfId="0" applyNumberFormat="1" applyFont="1" applyBorder="1" applyAlignment="1"/>
    <xf numFmtId="6" fontId="2" fillId="0" borderId="20" xfId="0" applyNumberFormat="1" applyFont="1" applyBorder="1" applyAlignment="1">
      <alignment wrapText="1"/>
    </xf>
    <xf numFmtId="6" fontId="2" fillId="5" borderId="21" xfId="0" applyNumberFormat="1" applyFont="1" applyFill="1" applyBorder="1" applyAlignment="1"/>
    <xf numFmtId="6" fontId="2" fillId="5" borderId="20" xfId="0" applyNumberFormat="1" applyFont="1" applyFill="1" applyBorder="1" applyAlignment="1"/>
    <xf numFmtId="6" fontId="2" fillId="5" borderId="22" xfId="0" applyNumberFormat="1" applyFont="1" applyFill="1" applyBorder="1" applyAlignment="1"/>
    <xf numFmtId="6" fontId="2" fillId="6" borderId="21" xfId="0" applyNumberFormat="1" applyFont="1" applyFill="1" applyBorder="1" applyAlignment="1"/>
    <xf numFmtId="6" fontId="2" fillId="6" borderId="20" xfId="0" applyNumberFormat="1" applyFont="1" applyFill="1" applyBorder="1" applyAlignment="1"/>
    <xf numFmtId="6" fontId="2" fillId="6" borderId="22" xfId="0" applyNumberFormat="1" applyFont="1" applyFill="1" applyBorder="1" applyAlignment="1"/>
    <xf numFmtId="6" fontId="2" fillId="7" borderId="20" xfId="0" applyNumberFormat="1" applyFont="1" applyFill="1" applyBorder="1" applyAlignment="1"/>
    <xf numFmtId="6" fontId="2" fillId="7" borderId="22" xfId="0" applyNumberFormat="1" applyFont="1" applyFill="1" applyBorder="1" applyAlignment="1"/>
    <xf numFmtId="6" fontId="2" fillId="2" borderId="20" xfId="0" applyNumberFormat="1" applyFont="1" applyFill="1" applyBorder="1" applyAlignment="1"/>
    <xf numFmtId="6" fontId="2" fillId="2" borderId="22" xfId="0" applyNumberFormat="1" applyFont="1" applyFill="1" applyBorder="1" applyAlignment="1"/>
    <xf numFmtId="6" fontId="2" fillId="4" borderId="23" xfId="0" applyNumberFormat="1" applyFont="1" applyFill="1" applyBorder="1" applyAlignment="1"/>
    <xf numFmtId="6" fontId="15" fillId="0" borderId="20" xfId="0" applyNumberFormat="1" applyFont="1" applyBorder="1" applyAlignment="1"/>
    <xf numFmtId="6" fontId="7" fillId="8" borderId="0" xfId="0" applyNumberFormat="1" applyFont="1" applyFill="1" applyAlignment="1"/>
    <xf numFmtId="6" fontId="2" fillId="5" borderId="24" xfId="0" applyNumberFormat="1" applyFont="1" applyFill="1" applyBorder="1" applyAlignment="1"/>
    <xf numFmtId="6" fontId="2" fillId="5" borderId="25" xfId="0" applyNumberFormat="1" applyFont="1" applyFill="1" applyBorder="1" applyAlignment="1"/>
    <xf numFmtId="6" fontId="2" fillId="6" borderId="26" xfId="0" applyNumberFormat="1" applyFont="1" applyFill="1" applyBorder="1" applyAlignment="1"/>
    <xf numFmtId="6" fontId="2" fillId="6" borderId="24" xfId="0" applyNumberFormat="1" applyFont="1" applyFill="1" applyBorder="1" applyAlignment="1"/>
    <xf numFmtId="6" fontId="2" fillId="6" borderId="25" xfId="0" applyNumberFormat="1" applyFont="1" applyFill="1" applyBorder="1" applyAlignment="1"/>
    <xf numFmtId="6" fontId="2" fillId="7" borderId="24" xfId="0" applyNumberFormat="1" applyFont="1" applyFill="1" applyBorder="1" applyAlignment="1"/>
    <xf numFmtId="6" fontId="2" fillId="7" borderId="25" xfId="0" applyNumberFormat="1" applyFont="1" applyFill="1" applyBorder="1" applyAlignment="1"/>
    <xf numFmtId="6" fontId="2" fillId="2" borderId="24" xfId="0" applyNumberFormat="1" applyFont="1" applyFill="1" applyBorder="1" applyAlignment="1"/>
    <xf numFmtId="6" fontId="2" fillId="4" borderId="27" xfId="0" applyNumberFormat="1" applyFont="1" applyFill="1" applyBorder="1" applyAlignment="1"/>
    <xf numFmtId="6" fontId="15" fillId="0" borderId="24" xfId="0" applyNumberFormat="1" applyFont="1" applyBorder="1" applyAlignment="1"/>
    <xf numFmtId="6" fontId="8" fillId="0" borderId="0" xfId="0" applyNumberFormat="1" applyFont="1" applyAlignment="1">
      <alignment wrapText="1"/>
    </xf>
    <xf numFmtId="6" fontId="8" fillId="4" borderId="7" xfId="0" applyNumberFormat="1" applyFont="1" applyFill="1" applyBorder="1" applyAlignment="1">
      <alignment horizontal="center" wrapText="1"/>
    </xf>
    <xf numFmtId="6" fontId="9" fillId="0" borderId="0" xfId="0" applyNumberFormat="1" applyFont="1" applyBorder="1" applyAlignment="1">
      <alignment wrapText="1"/>
    </xf>
    <xf numFmtId="6" fontId="9" fillId="0" borderId="28" xfId="0" applyNumberFormat="1" applyFont="1" applyBorder="1" applyAlignment="1">
      <alignment horizontal="centerContinuous"/>
    </xf>
    <xf numFmtId="6" fontId="7" fillId="0" borderId="29" xfId="0" applyNumberFormat="1" applyFont="1" applyBorder="1" applyAlignment="1">
      <alignment horizontal="centerContinuous"/>
    </xf>
    <xf numFmtId="6" fontId="7" fillId="0" borderId="0" xfId="0" applyNumberFormat="1" applyFont="1" applyBorder="1" applyAlignment="1">
      <alignment horizontal="centerContinuous"/>
    </xf>
    <xf numFmtId="6" fontId="9" fillId="0" borderId="0" xfId="0" applyNumberFormat="1" applyFont="1" applyBorder="1" applyAlignment="1">
      <alignment horizontal="centerContinuous"/>
    </xf>
    <xf numFmtId="6" fontId="9" fillId="0" borderId="2" xfId="0" applyNumberFormat="1" applyFont="1" applyBorder="1" applyAlignment="1">
      <alignment horizontal="centerContinuous"/>
    </xf>
    <xf numFmtId="6" fontId="8" fillId="0" borderId="0" xfId="0" applyNumberFormat="1" applyFont="1" applyBorder="1" applyAlignment="1"/>
    <xf numFmtId="6" fontId="7" fillId="5" borderId="11" xfId="0" applyNumberFormat="1" applyFont="1" applyFill="1" applyBorder="1" applyAlignment="1"/>
    <xf numFmtId="6" fontId="7" fillId="6" borderId="12" xfId="0" applyNumberFormat="1" applyFont="1" applyFill="1" applyBorder="1" applyAlignment="1"/>
    <xf numFmtId="6" fontId="7" fillId="6" borderId="11" xfId="0" applyNumberFormat="1" applyFont="1" applyFill="1" applyBorder="1" applyAlignment="1"/>
    <xf numFmtId="6" fontId="7" fillId="6" borderId="13" xfId="0" applyNumberFormat="1" applyFont="1" applyFill="1" applyBorder="1" applyAlignment="1"/>
    <xf numFmtId="6" fontId="7" fillId="7" borderId="11" xfId="0" applyNumberFormat="1" applyFont="1" applyFill="1" applyBorder="1" applyAlignment="1"/>
    <xf numFmtId="6" fontId="7" fillId="7" borderId="13" xfId="0" applyNumberFormat="1" applyFont="1" applyFill="1" applyBorder="1" applyAlignment="1"/>
    <xf numFmtId="6" fontId="2" fillId="0" borderId="11" xfId="0" applyNumberFormat="1" applyFont="1" applyBorder="1" applyAlignment="1">
      <alignment horizontal="left" wrapText="1"/>
    </xf>
    <xf numFmtId="6" fontId="7" fillId="0" borderId="11" xfId="0" applyNumberFormat="1" applyFont="1" applyBorder="1" applyAlignment="1"/>
    <xf numFmtId="6" fontId="2" fillId="0" borderId="24" xfId="0" applyNumberFormat="1" applyFont="1" applyBorder="1" applyAlignment="1">
      <alignment horizontal="left" wrapText="1"/>
    </xf>
    <xf numFmtId="6" fontId="2" fillId="5" borderId="26" xfId="0" applyNumberFormat="1" applyFont="1" applyFill="1" applyBorder="1" applyAlignment="1"/>
    <xf numFmtId="6" fontId="7" fillId="0" borderId="24" xfId="0" applyNumberFormat="1" applyFont="1" applyBorder="1" applyAlignment="1"/>
    <xf numFmtId="6" fontId="8" fillId="0" borderId="4" xfId="0" applyNumberFormat="1" applyFont="1" applyBorder="1" applyAlignment="1"/>
    <xf numFmtId="6" fontId="8" fillId="0" borderId="15" xfId="0" applyNumberFormat="1" applyFont="1" applyBorder="1" applyAlignment="1"/>
    <xf numFmtId="6" fontId="8" fillId="0" borderId="30" xfId="0" applyNumberFormat="1" applyFont="1" applyBorder="1" applyAlignment="1"/>
    <xf numFmtId="6" fontId="8" fillId="3" borderId="0" xfId="0" applyNumberFormat="1" applyFont="1" applyFill="1" applyAlignment="1">
      <alignment horizontal="center" wrapText="1"/>
    </xf>
    <xf numFmtId="6" fontId="15" fillId="3" borderId="4" xfId="0" applyNumberFormat="1" applyFont="1" applyFill="1" applyBorder="1" applyAlignment="1"/>
    <xf numFmtId="6" fontId="15" fillId="3" borderId="0" xfId="0" applyNumberFormat="1" applyFont="1" applyFill="1" applyBorder="1" applyAlignment="1"/>
    <xf numFmtId="6" fontId="15" fillId="3" borderId="15" xfId="0" applyNumberFormat="1" applyFont="1" applyFill="1" applyBorder="1" applyAlignment="1"/>
    <xf numFmtId="6" fontId="15" fillId="3" borderId="30" xfId="0" applyNumberFormat="1" applyFont="1" applyFill="1" applyBorder="1" applyAlignment="1"/>
    <xf numFmtId="6" fontId="4" fillId="3" borderId="0" xfId="0" applyNumberFormat="1" applyFont="1" applyFill="1" applyAlignment="1"/>
    <xf numFmtId="6" fontId="7" fillId="8" borderId="0" xfId="0" applyNumberFormat="1" applyFont="1" applyFill="1" applyAlignment="1">
      <alignment horizontal="right"/>
    </xf>
    <xf numFmtId="6" fontId="10" fillId="0" borderId="0" xfId="0" applyNumberFormat="1" applyFont="1" applyBorder="1" applyAlignment="1">
      <alignment horizontal="left" wrapText="1"/>
    </xf>
    <xf numFmtId="6" fontId="2" fillId="9" borderId="9" xfId="0" applyNumberFormat="1" applyFont="1" applyFill="1" applyBorder="1" applyAlignment="1"/>
    <xf numFmtId="6" fontId="2" fillId="9" borderId="12" xfId="0" applyNumberFormat="1" applyFont="1" applyFill="1" applyBorder="1" applyAlignment="1"/>
    <xf numFmtId="6" fontId="2" fillId="9" borderId="26" xfId="0" applyNumberFormat="1" applyFont="1" applyFill="1" applyBorder="1" applyAlignment="1"/>
    <xf numFmtId="6" fontId="15" fillId="3" borderId="11" xfId="0" applyNumberFormat="1" applyFont="1" applyFill="1" applyBorder="1" applyAlignment="1"/>
    <xf numFmtId="6" fontId="15" fillId="3" borderId="1" xfId="0" applyNumberFormat="1" applyFont="1" applyFill="1" applyBorder="1" applyAlignment="1"/>
    <xf numFmtId="6" fontId="10" fillId="8" borderId="0" xfId="0" applyNumberFormat="1" applyFont="1" applyFill="1" applyAlignment="1">
      <alignment horizontal="center" vertical="center" wrapText="1"/>
    </xf>
    <xf numFmtId="6" fontId="15" fillId="8" borderId="4" xfId="0" applyNumberFormat="1" applyFont="1" applyFill="1" applyBorder="1" applyAlignment="1">
      <alignment horizontal="right" vertical="center"/>
    </xf>
    <xf numFmtId="6" fontId="15" fillId="8" borderId="0" xfId="0" applyNumberFormat="1" applyFont="1" applyFill="1" applyBorder="1" applyAlignment="1">
      <alignment horizontal="right" vertical="center"/>
    </xf>
    <xf numFmtId="6" fontId="15" fillId="8" borderId="15" xfId="0" applyNumberFormat="1" applyFont="1" applyFill="1" applyBorder="1" applyAlignment="1">
      <alignment horizontal="right" vertical="center"/>
    </xf>
    <xf numFmtId="6" fontId="15" fillId="8" borderId="30" xfId="0" applyNumberFormat="1" applyFont="1" applyFill="1" applyBorder="1" applyAlignment="1">
      <alignment horizontal="right" vertical="center"/>
    </xf>
    <xf numFmtId="6" fontId="12" fillId="8" borderId="0" xfId="0" applyNumberFormat="1" applyFont="1" applyFill="1" applyAlignment="1">
      <alignment vertical="center"/>
    </xf>
    <xf numFmtId="6" fontId="8" fillId="8" borderId="4" xfId="0" applyNumberFormat="1" applyFont="1" applyFill="1" applyBorder="1" applyAlignment="1">
      <alignment horizontal="right" vertical="center"/>
    </xf>
    <xf numFmtId="6" fontId="8" fillId="8" borderId="0" xfId="0" applyNumberFormat="1" applyFont="1" applyFill="1" applyBorder="1" applyAlignment="1">
      <alignment horizontal="right" vertical="center"/>
    </xf>
    <xf numFmtId="6" fontId="8" fillId="8" borderId="15" xfId="0" applyNumberFormat="1" applyFont="1" applyFill="1" applyBorder="1" applyAlignment="1">
      <alignment horizontal="right" vertical="center"/>
    </xf>
    <xf numFmtId="6" fontId="8" fillId="8" borderId="0" xfId="0" applyNumberFormat="1" applyFont="1" applyFill="1" applyAlignment="1">
      <alignment horizontal="right" vertical="center"/>
    </xf>
    <xf numFmtId="6" fontId="8" fillId="8" borderId="30" xfId="0" applyNumberFormat="1" applyFont="1" applyFill="1" applyBorder="1" applyAlignment="1">
      <alignment horizontal="right" vertical="center"/>
    </xf>
    <xf numFmtId="6" fontId="8" fillId="8" borderId="0" xfId="0" applyNumberFormat="1" applyFont="1" applyFill="1" applyAlignment="1">
      <alignment horizontal="center" vertical="center" wrapText="1"/>
    </xf>
    <xf numFmtId="6" fontId="11" fillId="8" borderId="0" xfId="0" applyNumberFormat="1" applyFont="1" applyFill="1" applyAlignment="1">
      <alignment horizontal="center" vertical="center" wrapText="1"/>
    </xf>
    <xf numFmtId="6" fontId="8" fillId="8" borderId="4" xfId="0" applyNumberFormat="1" applyFont="1" applyFill="1" applyBorder="1" applyAlignment="1">
      <alignment vertical="center"/>
    </xf>
    <xf numFmtId="6" fontId="8" fillId="8" borderId="0" xfId="0" applyNumberFormat="1" applyFont="1" applyFill="1" applyBorder="1" applyAlignment="1">
      <alignment vertical="center"/>
    </xf>
    <xf numFmtId="6" fontId="8" fillId="8" borderId="15" xfId="0" applyNumberFormat="1" applyFont="1" applyFill="1" applyBorder="1" applyAlignment="1">
      <alignment vertical="center"/>
    </xf>
    <xf numFmtId="6" fontId="8" fillId="8" borderId="30" xfId="0" applyNumberFormat="1" applyFont="1" applyFill="1" applyBorder="1" applyAlignment="1">
      <alignment vertical="center"/>
    </xf>
    <xf numFmtId="6" fontId="7" fillId="8" borderId="0" xfId="0" applyNumberFormat="1" applyFont="1" applyFill="1" applyAlignment="1">
      <alignment vertical="center"/>
    </xf>
    <xf numFmtId="6" fontId="15" fillId="8" borderId="4" xfId="0" applyNumberFormat="1" applyFont="1" applyFill="1" applyBorder="1" applyAlignment="1">
      <alignment vertical="center"/>
    </xf>
    <xf numFmtId="6" fontId="15" fillId="8" borderId="0" xfId="0" applyNumberFormat="1" applyFont="1" applyFill="1" applyBorder="1" applyAlignment="1">
      <alignment vertical="center"/>
    </xf>
    <xf numFmtId="6" fontId="15" fillId="8" borderId="15" xfId="0" applyNumberFormat="1" applyFont="1" applyFill="1" applyBorder="1" applyAlignment="1">
      <alignment vertical="center"/>
    </xf>
    <xf numFmtId="6" fontId="15" fillId="8" borderId="30" xfId="0" applyNumberFormat="1" applyFont="1" applyFill="1" applyBorder="1" applyAlignment="1">
      <alignment vertical="center"/>
    </xf>
    <xf numFmtId="6" fontId="3" fillId="8" borderId="0" xfId="0" applyNumberFormat="1" applyFont="1" applyFill="1" applyAlignment="1">
      <alignment vertical="center"/>
    </xf>
    <xf numFmtId="6" fontId="12" fillId="8" borderId="0" xfId="0" applyNumberFormat="1" applyFont="1" applyFill="1" applyAlignment="1">
      <alignment horizontal="center" vertical="center" wrapText="1"/>
    </xf>
    <xf numFmtId="6" fontId="11" fillId="8" borderId="4" xfId="0" applyNumberFormat="1" applyFont="1" applyFill="1" applyBorder="1" applyAlignment="1">
      <alignment horizontal="center" vertical="center"/>
    </xf>
    <xf numFmtId="6" fontId="11" fillId="8" borderId="0" xfId="0" applyNumberFormat="1" applyFont="1" applyFill="1" applyBorder="1" applyAlignment="1">
      <alignment horizontal="center" vertical="center"/>
    </xf>
    <xf numFmtId="6" fontId="11" fillId="8" borderId="15" xfId="0" applyNumberFormat="1" applyFont="1" applyFill="1" applyBorder="1" applyAlignment="1">
      <alignment horizontal="center" vertical="center"/>
    </xf>
    <xf numFmtId="6" fontId="11" fillId="10" borderId="30" xfId="0" applyNumberFormat="1" applyFont="1" applyFill="1" applyBorder="1" applyAlignment="1">
      <alignment horizontal="center" vertical="center"/>
    </xf>
    <xf numFmtId="6" fontId="8" fillId="8" borderId="0" xfId="0" applyNumberFormat="1" applyFont="1" applyFill="1" applyAlignment="1">
      <alignment vertical="center"/>
    </xf>
    <xf numFmtId="6" fontId="15" fillId="8" borderId="18" xfId="0" applyNumberFormat="1" applyFont="1" applyFill="1" applyBorder="1" applyAlignment="1">
      <alignment vertical="center"/>
    </xf>
    <xf numFmtId="6" fontId="15" fillId="8" borderId="31" xfId="0" applyNumberFormat="1" applyFont="1" applyFill="1" applyBorder="1" applyAlignment="1">
      <alignment vertical="center"/>
    </xf>
    <xf numFmtId="6" fontId="18" fillId="0" borderId="0" xfId="0" applyNumberFormat="1" applyFont="1" applyAlignment="1">
      <alignment wrapText="1"/>
    </xf>
    <xf numFmtId="0" fontId="0" fillId="0" borderId="0" xfId="0" applyAlignment="1">
      <alignment horizontal="left" wrapText="1"/>
    </xf>
    <xf numFmtId="6" fontId="16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6" fontId="2" fillId="0" borderId="16" xfId="0" applyNumberFormat="1" applyFont="1" applyBorder="1" applyAlignment="1">
      <alignment wrapText="1"/>
    </xf>
    <xf numFmtId="6" fontId="2" fillId="5" borderId="18" xfId="0" applyNumberFormat="1" applyFont="1" applyFill="1" applyBorder="1" applyAlignment="1"/>
    <xf numFmtId="6" fontId="15" fillId="0" borderId="16" xfId="0" applyNumberFormat="1" applyFont="1" applyBorder="1" applyAlignment="1"/>
    <xf numFmtId="6" fontId="7" fillId="0" borderId="16" xfId="0" applyNumberFormat="1" applyFont="1" applyBorder="1" applyAlignment="1"/>
    <xf numFmtId="6" fontId="2" fillId="0" borderId="11" xfId="0" applyNumberFormat="1" applyFont="1" applyBorder="1" applyAlignment="1">
      <alignment horizontal="right" wrapText="1"/>
    </xf>
    <xf numFmtId="6" fontId="2" fillId="0" borderId="24" xfId="0" applyNumberFormat="1" applyFont="1" applyBorder="1" applyAlignment="1">
      <alignment horizontal="right" wrapText="1"/>
    </xf>
    <xf numFmtId="6" fontId="15" fillId="3" borderId="24" xfId="0" applyNumberFormat="1" applyFont="1" applyFill="1" applyBorder="1" applyAlignment="1"/>
    <xf numFmtId="6" fontId="8" fillId="3" borderId="0" xfId="0" applyNumberFormat="1" applyFont="1" applyFill="1" applyAlignment="1">
      <alignment horizontal="center" vertical="center" wrapText="1"/>
    </xf>
    <xf numFmtId="6" fontId="15" fillId="3" borderId="0" xfId="0" applyNumberFormat="1" applyFont="1" applyFill="1" applyBorder="1" applyAlignment="1">
      <alignment vertical="center"/>
    </xf>
    <xf numFmtId="6" fontId="7" fillId="3" borderId="0" xfId="0" applyNumberFormat="1" applyFont="1" applyFill="1" applyAlignment="1">
      <alignment vertical="center"/>
    </xf>
    <xf numFmtId="6" fontId="8" fillId="3" borderId="2" xfId="0" applyNumberFormat="1" applyFont="1" applyFill="1" applyBorder="1" applyAlignment="1">
      <alignment horizontal="center" vertical="center" wrapText="1"/>
    </xf>
    <xf numFmtId="6" fontId="2" fillId="0" borderId="2" xfId="0" applyNumberFormat="1" applyFont="1" applyBorder="1" applyAlignment="1">
      <alignment horizontal="right" wrapText="1"/>
    </xf>
    <xf numFmtId="6" fontId="10" fillId="8" borderId="2" xfId="0" applyNumberFormat="1" applyFont="1" applyFill="1" applyBorder="1" applyAlignment="1">
      <alignment horizontal="center" vertical="center" wrapText="1"/>
    </xf>
    <xf numFmtId="6" fontId="8" fillId="3" borderId="0" xfId="0" applyNumberFormat="1" applyFont="1" applyFill="1" applyBorder="1" applyAlignment="1">
      <alignment horizontal="center" vertical="center" wrapText="1"/>
    </xf>
    <xf numFmtId="6" fontId="3" fillId="3" borderId="0" xfId="0" applyNumberFormat="1" applyFont="1" applyFill="1" applyBorder="1" applyAlignment="1">
      <alignment vertical="center"/>
    </xf>
    <xf numFmtId="6" fontId="15" fillId="8" borderId="0" xfId="0" applyNumberFormat="1" applyFont="1" applyFill="1" applyBorder="1" applyAlignment="1">
      <alignment horizontal="left" vertical="center"/>
    </xf>
    <xf numFmtId="6" fontId="7" fillId="3" borderId="0" xfId="0" applyNumberFormat="1" applyFont="1" applyFill="1" applyBorder="1" applyAlignment="1">
      <alignment vertical="center"/>
    </xf>
    <xf numFmtId="6" fontId="6" fillId="8" borderId="29" xfId="0" applyNumberFormat="1" applyFont="1" applyFill="1" applyBorder="1" applyAlignment="1">
      <alignment wrapText="1"/>
    </xf>
    <xf numFmtId="6" fontId="8" fillId="8" borderId="29" xfId="0" applyNumberFormat="1" applyFont="1" applyFill="1" applyBorder="1" applyAlignment="1">
      <alignment horizontal="right"/>
    </xf>
    <xf numFmtId="6" fontId="2" fillId="0" borderId="0" xfId="0" applyNumberFormat="1" applyFont="1" applyAlignment="1">
      <alignment wrapText="1"/>
    </xf>
    <xf numFmtId="6" fontId="8" fillId="8" borderId="32" xfId="0" applyNumberFormat="1" applyFont="1" applyFill="1" applyBorder="1" applyAlignment="1">
      <alignment horizontal="right"/>
    </xf>
    <xf numFmtId="6" fontId="8" fillId="8" borderId="33" xfId="0" applyNumberFormat="1" applyFont="1" applyFill="1" applyBorder="1" applyAlignment="1">
      <alignment horizontal="right"/>
    </xf>
    <xf numFmtId="6" fontId="8" fillId="8" borderId="29" xfId="0" applyNumberFormat="1" applyFont="1" applyFill="1" applyBorder="1" applyAlignment="1">
      <alignment horizontal="right" wrapText="1"/>
    </xf>
    <xf numFmtId="6" fontId="8" fillId="10" borderId="34" xfId="0" applyNumberFormat="1" applyFont="1" applyFill="1" applyBorder="1" applyAlignment="1">
      <alignment horizontal="right" wrapText="1"/>
    </xf>
    <xf numFmtId="6" fontId="3" fillId="8" borderId="0" xfId="0" applyNumberFormat="1" applyFont="1" applyFill="1" applyAlignment="1">
      <alignment horizontal="right" vertical="center"/>
    </xf>
    <xf numFmtId="6" fontId="15" fillId="3" borderId="4" xfId="0" applyNumberFormat="1" applyFont="1" applyFill="1" applyBorder="1" applyAlignment="1">
      <alignment horizontal="right" vertical="center"/>
    </xf>
    <xf numFmtId="6" fontId="15" fillId="3" borderId="0" xfId="0" applyNumberFormat="1" applyFont="1" applyFill="1" applyBorder="1" applyAlignment="1">
      <alignment horizontal="right" vertical="center"/>
    </xf>
    <xf numFmtId="6" fontId="15" fillId="3" borderId="15" xfId="0" applyNumberFormat="1" applyFont="1" applyFill="1" applyBorder="1" applyAlignment="1">
      <alignment horizontal="right" vertical="center"/>
    </xf>
    <xf numFmtId="6" fontId="15" fillId="3" borderId="30" xfId="0" applyNumberFormat="1" applyFont="1" applyFill="1" applyBorder="1" applyAlignment="1">
      <alignment horizontal="right" vertical="center"/>
    </xf>
    <xf numFmtId="6" fontId="3" fillId="3" borderId="0" xfId="0" applyNumberFormat="1" applyFont="1" applyFill="1" applyAlignment="1">
      <alignment horizontal="right" vertical="center"/>
    </xf>
    <xf numFmtId="6" fontId="15" fillId="3" borderId="5" xfId="0" applyNumberFormat="1" applyFont="1" applyFill="1" applyBorder="1" applyAlignment="1">
      <alignment horizontal="right" vertical="center"/>
    </xf>
    <xf numFmtId="6" fontId="15" fillId="3" borderId="2" xfId="0" applyNumberFormat="1" applyFont="1" applyFill="1" applyBorder="1" applyAlignment="1">
      <alignment horizontal="right" vertical="center"/>
    </xf>
    <xf numFmtId="6" fontId="15" fillId="3" borderId="6" xfId="0" applyNumberFormat="1" applyFont="1" applyFill="1" applyBorder="1" applyAlignment="1">
      <alignment horizontal="right" vertical="center"/>
    </xf>
    <xf numFmtId="6" fontId="15" fillId="3" borderId="7" xfId="0" applyNumberFormat="1" applyFont="1" applyFill="1" applyBorder="1" applyAlignment="1">
      <alignment horizontal="right" vertical="center"/>
    </xf>
    <xf numFmtId="6" fontId="3" fillId="3" borderId="2" xfId="0" applyNumberFormat="1" applyFont="1" applyFill="1" applyBorder="1" applyAlignment="1">
      <alignment horizontal="right" vertical="center"/>
    </xf>
    <xf numFmtId="6" fontId="11" fillId="8" borderId="5" xfId="0" applyNumberFormat="1" applyFont="1" applyFill="1" applyBorder="1" applyAlignment="1">
      <alignment horizontal="right" vertical="center"/>
    </xf>
    <xf numFmtId="6" fontId="11" fillId="8" borderId="2" xfId="0" applyNumberFormat="1" applyFont="1" applyFill="1" applyBorder="1" applyAlignment="1">
      <alignment horizontal="right" vertical="center"/>
    </xf>
    <xf numFmtId="6" fontId="11" fillId="8" borderId="6" xfId="0" applyNumberFormat="1" applyFont="1" applyFill="1" applyBorder="1" applyAlignment="1">
      <alignment horizontal="right" vertical="center"/>
    </xf>
    <xf numFmtId="6" fontId="11" fillId="10" borderId="7" xfId="0" applyNumberFormat="1" applyFont="1" applyFill="1" applyBorder="1" applyAlignment="1">
      <alignment horizontal="right" vertical="center"/>
    </xf>
    <xf numFmtId="6" fontId="12" fillId="8" borderId="2" xfId="0" applyNumberFormat="1" applyFont="1" applyFill="1" applyBorder="1" applyAlignment="1">
      <alignment horizontal="right" vertical="center"/>
    </xf>
    <xf numFmtId="6" fontId="2" fillId="9" borderId="5" xfId="0" applyNumberFormat="1" applyFont="1" applyFill="1" applyBorder="1" applyAlignment="1">
      <alignment horizontal="right"/>
    </xf>
    <xf numFmtId="6" fontId="2" fillId="5" borderId="2" xfId="0" applyNumberFormat="1" applyFont="1" applyFill="1" applyBorder="1" applyAlignment="1">
      <alignment horizontal="right"/>
    </xf>
    <xf numFmtId="6" fontId="2" fillId="5" borderId="6" xfId="0" applyNumberFormat="1" applyFont="1" applyFill="1" applyBorder="1" applyAlignment="1">
      <alignment horizontal="right"/>
    </xf>
    <xf numFmtId="6" fontId="2" fillId="6" borderId="2" xfId="0" applyNumberFormat="1" applyFont="1" applyFill="1" applyBorder="1" applyAlignment="1">
      <alignment horizontal="right"/>
    </xf>
    <xf numFmtId="6" fontId="2" fillId="6" borderId="6" xfId="0" applyNumberFormat="1" applyFont="1" applyFill="1" applyBorder="1" applyAlignment="1">
      <alignment horizontal="right"/>
    </xf>
    <xf numFmtId="6" fontId="2" fillId="7" borderId="2" xfId="0" applyNumberFormat="1" applyFont="1" applyFill="1" applyBorder="1" applyAlignment="1">
      <alignment horizontal="right"/>
    </xf>
    <xf numFmtId="6" fontId="2" fillId="7" borderId="6" xfId="0" applyNumberFormat="1" applyFont="1" applyFill="1" applyBorder="1" applyAlignment="1">
      <alignment horizontal="right"/>
    </xf>
    <xf numFmtId="6" fontId="2" fillId="2" borderId="2" xfId="0" applyNumberFormat="1" applyFont="1" applyFill="1" applyBorder="1" applyAlignment="1">
      <alignment horizontal="right"/>
    </xf>
    <xf numFmtId="6" fontId="2" fillId="4" borderId="7" xfId="0" applyNumberFormat="1" applyFont="1" applyFill="1" applyBorder="1" applyAlignment="1">
      <alignment horizontal="right"/>
    </xf>
    <xf numFmtId="6" fontId="15" fillId="3" borderId="2" xfId="0" applyNumberFormat="1" applyFont="1" applyFill="1" applyBorder="1" applyAlignment="1">
      <alignment horizontal="right"/>
    </xf>
    <xf numFmtId="6" fontId="8" fillId="8" borderId="5" xfId="0" applyNumberFormat="1" applyFont="1" applyFill="1" applyBorder="1" applyAlignment="1">
      <alignment horizontal="right" vertical="center"/>
    </xf>
    <xf numFmtId="6" fontId="8" fillId="8" borderId="2" xfId="0" applyNumberFormat="1" applyFont="1" applyFill="1" applyBorder="1" applyAlignment="1">
      <alignment horizontal="right" vertical="center"/>
    </xf>
    <xf numFmtId="6" fontId="8" fillId="8" borderId="6" xfId="0" applyNumberFormat="1" applyFont="1" applyFill="1" applyBorder="1" applyAlignment="1">
      <alignment horizontal="right" vertical="center"/>
    </xf>
    <xf numFmtId="6" fontId="8" fillId="8" borderId="7" xfId="0" applyNumberFormat="1" applyFont="1" applyFill="1" applyBorder="1" applyAlignment="1">
      <alignment horizontal="right" vertical="center"/>
    </xf>
    <xf numFmtId="6" fontId="12" fillId="8" borderId="2" xfId="0" applyNumberFormat="1" applyFont="1" applyFill="1" applyBorder="1" applyAlignment="1">
      <alignment vertical="center"/>
    </xf>
    <xf numFmtId="6" fontId="8" fillId="8" borderId="32" xfId="0" applyNumberFormat="1" applyFont="1" applyFill="1" applyBorder="1" applyAlignment="1">
      <alignment horizontal="right" vertical="center"/>
    </xf>
    <xf numFmtId="6" fontId="8" fillId="8" borderId="29" xfId="0" applyNumberFormat="1" applyFont="1" applyFill="1" applyBorder="1" applyAlignment="1">
      <alignment horizontal="right" vertical="center"/>
    </xf>
    <xf numFmtId="6" fontId="8" fillId="8" borderId="33" xfId="0" applyNumberFormat="1" applyFont="1" applyFill="1" applyBorder="1" applyAlignment="1">
      <alignment horizontal="right" vertical="center"/>
    </xf>
    <xf numFmtId="6" fontId="8" fillId="8" borderId="34" xfId="0" applyNumberFormat="1" applyFont="1" applyFill="1" applyBorder="1" applyAlignment="1">
      <alignment horizontal="right" vertical="center"/>
    </xf>
    <xf numFmtId="6" fontId="12" fillId="8" borderId="29" xfId="0" applyNumberFormat="1" applyFont="1" applyFill="1" applyBorder="1" applyAlignment="1">
      <alignment vertical="center"/>
    </xf>
    <xf numFmtId="6" fontId="2" fillId="9" borderId="26" xfId="0" applyNumberFormat="1" applyFont="1" applyFill="1" applyBorder="1" applyAlignment="1">
      <alignment horizontal="right"/>
    </xf>
    <xf numFmtId="6" fontId="2" fillId="5" borderId="24" xfId="0" applyNumberFormat="1" applyFont="1" applyFill="1" applyBorder="1" applyAlignment="1">
      <alignment horizontal="right"/>
    </xf>
    <xf numFmtId="6" fontId="2" fillId="5" borderId="25" xfId="0" applyNumberFormat="1" applyFont="1" applyFill="1" applyBorder="1" applyAlignment="1">
      <alignment horizontal="right"/>
    </xf>
    <xf numFmtId="6" fontId="2" fillId="6" borderId="26" xfId="0" applyNumberFormat="1" applyFont="1" applyFill="1" applyBorder="1" applyAlignment="1">
      <alignment horizontal="right"/>
    </xf>
    <xf numFmtId="6" fontId="2" fillId="6" borderId="24" xfId="0" applyNumberFormat="1" applyFont="1" applyFill="1" applyBorder="1" applyAlignment="1">
      <alignment horizontal="right"/>
    </xf>
    <xf numFmtId="6" fontId="2" fillId="6" borderId="25" xfId="0" applyNumberFormat="1" applyFont="1" applyFill="1" applyBorder="1" applyAlignment="1">
      <alignment horizontal="right"/>
    </xf>
    <xf numFmtId="6" fontId="2" fillId="7" borderId="24" xfId="0" applyNumberFormat="1" applyFont="1" applyFill="1" applyBorder="1" applyAlignment="1">
      <alignment horizontal="right"/>
    </xf>
    <xf numFmtId="6" fontId="2" fillId="7" borderId="25" xfId="0" applyNumberFormat="1" applyFont="1" applyFill="1" applyBorder="1" applyAlignment="1">
      <alignment horizontal="right"/>
    </xf>
    <xf numFmtId="6" fontId="2" fillId="2" borderId="24" xfId="0" applyNumberFormat="1" applyFont="1" applyFill="1" applyBorder="1" applyAlignment="1">
      <alignment horizontal="right"/>
    </xf>
    <xf numFmtId="6" fontId="2" fillId="4" borderId="27" xfId="0" applyNumberFormat="1" applyFont="1" applyFill="1" applyBorder="1" applyAlignment="1">
      <alignment horizontal="right"/>
    </xf>
    <xf numFmtId="6" fontId="15" fillId="3" borderId="24" xfId="0" applyNumberFormat="1" applyFont="1" applyFill="1" applyBorder="1" applyAlignment="1">
      <alignment horizontal="right"/>
    </xf>
    <xf numFmtId="6" fontId="15" fillId="8" borderId="4" xfId="0" applyNumberFormat="1" applyFont="1" applyFill="1" applyBorder="1" applyAlignment="1">
      <alignment horizontal="right"/>
    </xf>
    <xf numFmtId="6" fontId="15" fillId="8" borderId="0" xfId="0" applyNumberFormat="1" applyFont="1" applyFill="1" applyBorder="1" applyAlignment="1">
      <alignment horizontal="right"/>
    </xf>
    <xf numFmtId="6" fontId="15" fillId="8" borderId="15" xfId="0" applyNumberFormat="1" applyFont="1" applyFill="1" applyBorder="1" applyAlignment="1">
      <alignment horizontal="right"/>
    </xf>
    <xf numFmtId="6" fontId="15" fillId="8" borderId="30" xfId="0" applyNumberFormat="1" applyFont="1" applyFill="1" applyBorder="1" applyAlignment="1">
      <alignment horizontal="right"/>
    </xf>
    <xf numFmtId="6" fontId="15" fillId="3" borderId="4" xfId="0" applyNumberFormat="1" applyFont="1" applyFill="1" applyBorder="1" applyAlignment="1">
      <alignment horizontal="right"/>
    </xf>
    <xf numFmtId="6" fontId="15" fillId="3" borderId="0" xfId="0" applyNumberFormat="1" applyFont="1" applyFill="1" applyBorder="1" applyAlignment="1">
      <alignment horizontal="right"/>
    </xf>
    <xf numFmtId="6" fontId="15" fillId="3" borderId="15" xfId="0" applyNumberFormat="1" applyFont="1" applyFill="1" applyBorder="1" applyAlignment="1">
      <alignment horizontal="right"/>
    </xf>
    <xf numFmtId="6" fontId="15" fillId="3" borderId="30" xfId="0" applyNumberFormat="1" applyFont="1" applyFill="1" applyBorder="1" applyAlignment="1">
      <alignment horizontal="right"/>
    </xf>
    <xf numFmtId="6" fontId="3" fillId="3" borderId="0" xfId="0" applyNumberFormat="1" applyFont="1" applyFill="1" applyAlignment="1">
      <alignment horizontal="right"/>
    </xf>
    <xf numFmtId="6" fontId="7" fillId="3" borderId="0" xfId="0" applyNumberFormat="1" applyFont="1" applyFill="1" applyAlignment="1"/>
    <xf numFmtId="6" fontId="8" fillId="3" borderId="2" xfId="0" applyNumberFormat="1" applyFont="1" applyFill="1" applyBorder="1" applyAlignment="1">
      <alignment horizontal="center" wrapText="1"/>
    </xf>
    <xf numFmtId="6" fontId="15" fillId="3" borderId="5" xfId="0" applyNumberFormat="1" applyFont="1" applyFill="1" applyBorder="1" applyAlignment="1">
      <alignment horizontal="right"/>
    </xf>
    <xf numFmtId="6" fontId="15" fillId="3" borderId="6" xfId="0" applyNumberFormat="1" applyFont="1" applyFill="1" applyBorder="1" applyAlignment="1">
      <alignment horizontal="right"/>
    </xf>
    <xf numFmtId="6" fontId="15" fillId="3" borderId="7" xfId="0" applyNumberFormat="1" applyFont="1" applyFill="1" applyBorder="1" applyAlignment="1">
      <alignment horizontal="right"/>
    </xf>
    <xf numFmtId="6" fontId="3" fillId="3" borderId="2" xfId="0" applyNumberFormat="1" applyFont="1" applyFill="1" applyBorder="1" applyAlignment="1">
      <alignment horizontal="right"/>
    </xf>
    <xf numFmtId="6" fontId="10" fillId="8" borderId="2" xfId="0" applyNumberFormat="1" applyFont="1" applyFill="1" applyBorder="1" applyAlignment="1">
      <alignment horizontal="center" wrapText="1"/>
    </xf>
    <xf numFmtId="6" fontId="11" fillId="8" borderId="5" xfId="0" applyNumberFormat="1" applyFont="1" applyFill="1" applyBorder="1" applyAlignment="1">
      <alignment horizontal="right"/>
    </xf>
    <xf numFmtId="6" fontId="11" fillId="8" borderId="2" xfId="0" applyNumberFormat="1" applyFont="1" applyFill="1" applyBorder="1" applyAlignment="1">
      <alignment horizontal="right"/>
    </xf>
    <xf numFmtId="6" fontId="11" fillId="8" borderId="6" xfId="0" applyNumberFormat="1" applyFont="1" applyFill="1" applyBorder="1" applyAlignment="1">
      <alignment horizontal="right"/>
    </xf>
    <xf numFmtId="6" fontId="11" fillId="10" borderId="7" xfId="0" applyNumberFormat="1" applyFont="1" applyFill="1" applyBorder="1" applyAlignment="1">
      <alignment horizontal="right"/>
    </xf>
    <xf numFmtId="6" fontId="12" fillId="8" borderId="2" xfId="0" applyNumberFormat="1" applyFont="1" applyFill="1" applyBorder="1" applyAlignment="1">
      <alignment horizontal="right"/>
    </xf>
    <xf numFmtId="6" fontId="8" fillId="8" borderId="0" xfId="0" applyNumberFormat="1" applyFont="1" applyFill="1" applyAlignment="1"/>
    <xf numFmtId="6" fontId="10" fillId="8" borderId="0" xfId="0" applyNumberFormat="1" applyFont="1" applyFill="1" applyAlignment="1">
      <alignment horizontal="center" wrapText="1"/>
    </xf>
    <xf numFmtId="6" fontId="15" fillId="8" borderId="0" xfId="0" applyNumberFormat="1" applyFont="1" applyFill="1" applyBorder="1" applyAlignment="1">
      <alignment horizontal="left"/>
    </xf>
    <xf numFmtId="6" fontId="12" fillId="8" borderId="0" xfId="0" applyNumberFormat="1" applyFont="1" applyFill="1" applyAlignment="1"/>
    <xf numFmtId="6" fontId="8" fillId="8" borderId="5" xfId="0" applyNumberFormat="1" applyFont="1" applyFill="1" applyBorder="1" applyAlignment="1">
      <alignment horizontal="right"/>
    </xf>
    <xf numFmtId="6" fontId="8" fillId="8" borderId="2" xfId="0" applyNumberFormat="1" applyFont="1" applyFill="1" applyBorder="1" applyAlignment="1">
      <alignment horizontal="right"/>
    </xf>
    <xf numFmtId="6" fontId="8" fillId="8" borderId="6" xfId="0" applyNumberFormat="1" applyFont="1" applyFill="1" applyBorder="1" applyAlignment="1">
      <alignment horizontal="right"/>
    </xf>
    <xf numFmtId="6" fontId="8" fillId="8" borderId="7" xfId="0" applyNumberFormat="1" applyFont="1" applyFill="1" applyBorder="1" applyAlignment="1">
      <alignment horizontal="right"/>
    </xf>
    <xf numFmtId="6" fontId="12" fillId="8" borderId="2" xfId="0" applyNumberFormat="1" applyFont="1" applyFill="1" applyBorder="1" applyAlignment="1"/>
    <xf numFmtId="6" fontId="15" fillId="8" borderId="32" xfId="0" applyNumberFormat="1" applyFont="1" applyFill="1" applyBorder="1" applyAlignment="1">
      <alignment horizontal="right"/>
    </xf>
    <xf numFmtId="6" fontId="15" fillId="8" borderId="29" xfId="0" applyNumberFormat="1" applyFont="1" applyFill="1" applyBorder="1" applyAlignment="1">
      <alignment horizontal="right"/>
    </xf>
    <xf numFmtId="6" fontId="15" fillId="8" borderId="33" xfId="0" applyNumberFormat="1" applyFont="1" applyFill="1" applyBorder="1" applyAlignment="1">
      <alignment horizontal="right"/>
    </xf>
    <xf numFmtId="6" fontId="15" fillId="8" borderId="34" xfId="0" applyNumberFormat="1" applyFont="1" applyFill="1" applyBorder="1" applyAlignment="1">
      <alignment horizontal="right"/>
    </xf>
    <xf numFmtId="6" fontId="3" fillId="8" borderId="29" xfId="0" applyNumberFormat="1" applyFont="1" applyFill="1" applyBorder="1" applyAlignment="1">
      <alignment horizontal="right"/>
    </xf>
    <xf numFmtId="0" fontId="0" fillId="0" borderId="31" xfId="0" applyBorder="1"/>
    <xf numFmtId="6" fontId="7" fillId="3" borderId="0" xfId="0" applyNumberFormat="1" applyFont="1" applyFill="1" applyBorder="1" applyAlignment="1"/>
    <xf numFmtId="6" fontId="10" fillId="3" borderId="2" xfId="0" applyNumberFormat="1" applyFont="1" applyFill="1" applyBorder="1" applyAlignment="1">
      <alignment horizontal="right" wrapText="1"/>
    </xf>
    <xf numFmtId="6" fontId="15" fillId="3" borderId="2" xfId="0" applyNumberFormat="1" applyFont="1" applyFill="1" applyBorder="1" applyAlignment="1"/>
    <xf numFmtId="6" fontId="3" fillId="3" borderId="2" xfId="0" applyNumberFormat="1" applyFont="1" applyFill="1" applyBorder="1" applyAlignment="1"/>
    <xf numFmtId="6" fontId="24" fillId="0" borderId="0" xfId="0" applyNumberFormat="1" applyFont="1" applyAlignment="1">
      <alignment wrapText="1"/>
    </xf>
    <xf numFmtId="0" fontId="0" fillId="0" borderId="0" xfId="0" applyAlignment="1">
      <alignment horizontal="left" wrapText="1"/>
    </xf>
    <xf numFmtId="6" fontId="8" fillId="0" borderId="0" xfId="0" applyNumberFormat="1" applyFont="1" applyAlignment="1">
      <alignment wrapText="1"/>
    </xf>
    <xf numFmtId="6" fontId="26" fillId="8" borderId="33" xfId="0" applyNumberFormat="1" applyFont="1" applyFill="1" applyBorder="1" applyAlignment="1">
      <alignment horizontal="right" wrapText="1"/>
    </xf>
    <xf numFmtId="6" fontId="27" fillId="2" borderId="2" xfId="0" applyNumberFormat="1" applyFont="1" applyFill="1" applyBorder="1" applyAlignment="1">
      <alignment horizontal="center" wrapText="1"/>
    </xf>
    <xf numFmtId="6" fontId="8" fillId="8" borderId="4" xfId="0" applyNumberFormat="1" applyFont="1" applyFill="1" applyBorder="1" applyAlignment="1">
      <alignment horizontal="right"/>
    </xf>
    <xf numFmtId="6" fontId="10" fillId="3" borderId="0" xfId="0" applyNumberFormat="1" applyFont="1" applyFill="1" applyBorder="1" applyAlignment="1">
      <alignment horizontal="right" wrapText="1"/>
    </xf>
    <xf numFmtId="6" fontId="3" fillId="3" borderId="0" xfId="0" applyNumberFormat="1" applyFont="1" applyFill="1" applyBorder="1" applyAlignment="1"/>
    <xf numFmtId="0" fontId="0" fillId="0" borderId="0" xfId="0" applyAlignment="1">
      <alignment horizontal="left" wrapText="1"/>
    </xf>
    <xf numFmtId="0" fontId="0" fillId="0" borderId="15" xfId="0" applyBorder="1"/>
    <xf numFmtId="14" fontId="30" fillId="0" borderId="0" xfId="0" applyNumberFormat="1" applyFont="1" applyAlignment="1">
      <alignment vertical="top" wrapText="1"/>
    </xf>
    <xf numFmtId="0" fontId="0" fillId="0" borderId="0" xfId="0" applyAlignment="1">
      <alignment horizontal="left" wrapText="1"/>
    </xf>
    <xf numFmtId="6" fontId="18" fillId="0" borderId="15" xfId="0" applyNumberFormat="1" applyFont="1" applyBorder="1" applyAlignment="1">
      <alignment wrapText="1"/>
    </xf>
    <xf numFmtId="0" fontId="0" fillId="0" borderId="6" xfId="0" applyBorder="1" applyAlignment="1">
      <alignment wrapText="1"/>
    </xf>
    <xf numFmtId="6" fontId="2" fillId="0" borderId="2" xfId="0" applyNumberFormat="1" applyFont="1" applyBorder="1" applyAlignment="1">
      <alignment wrapText="1"/>
    </xf>
    <xf numFmtId="6" fontId="2" fillId="9" borderId="5" xfId="0" applyNumberFormat="1" applyFont="1" applyFill="1" applyBorder="1" applyAlignment="1"/>
    <xf numFmtId="6" fontId="2" fillId="5" borderId="2" xfId="0" applyNumberFormat="1" applyFont="1" applyFill="1" applyBorder="1" applyAlignment="1"/>
    <xf numFmtId="6" fontId="2" fillId="5" borderId="6" xfId="0" applyNumberFormat="1" applyFont="1" applyFill="1" applyBorder="1" applyAlignment="1"/>
    <xf numFmtId="6" fontId="2" fillId="6" borderId="5" xfId="0" applyNumberFormat="1" applyFont="1" applyFill="1" applyBorder="1" applyAlignment="1"/>
    <xf numFmtId="6" fontId="2" fillId="6" borderId="2" xfId="0" applyNumberFormat="1" applyFont="1" applyFill="1" applyBorder="1" applyAlignment="1"/>
    <xf numFmtId="6" fontId="2" fillId="6" borderId="6" xfId="0" applyNumberFormat="1" applyFont="1" applyFill="1" applyBorder="1" applyAlignment="1"/>
    <xf numFmtId="6" fontId="2" fillId="7" borderId="2" xfId="0" applyNumberFormat="1" applyFont="1" applyFill="1" applyBorder="1" applyAlignment="1"/>
    <xf numFmtId="6" fontId="2" fillId="7" borderId="6" xfId="0" applyNumberFormat="1" applyFont="1" applyFill="1" applyBorder="1" applyAlignment="1"/>
    <xf numFmtId="6" fontId="2" fillId="2" borderId="2" xfId="0" applyNumberFormat="1" applyFont="1" applyFill="1" applyBorder="1" applyAlignment="1"/>
    <xf numFmtId="6" fontId="2" fillId="2" borderId="6" xfId="0" applyNumberFormat="1" applyFont="1" applyFill="1" applyBorder="1" applyAlignment="1"/>
    <xf numFmtId="6" fontId="2" fillId="4" borderId="7" xfId="0" applyNumberFormat="1" applyFont="1" applyFill="1" applyBorder="1" applyAlignment="1"/>
    <xf numFmtId="6" fontId="15" fillId="0" borderId="2" xfId="0" applyNumberFormat="1" applyFont="1" applyBorder="1" applyAlignment="1"/>
    <xf numFmtId="6" fontId="2" fillId="2" borderId="13" xfId="0" applyNumberFormat="1" applyFont="1" applyFill="1" applyBorder="1" applyAlignment="1"/>
    <xf numFmtId="6" fontId="8" fillId="5" borderId="5" xfId="0" applyNumberFormat="1" applyFont="1" applyFill="1" applyBorder="1" applyAlignment="1">
      <alignment horizontal="center"/>
    </xf>
    <xf numFmtId="6" fontId="8" fillId="5" borderId="2" xfId="0" applyNumberFormat="1" applyFont="1" applyFill="1" applyBorder="1" applyAlignment="1">
      <alignment horizontal="center"/>
    </xf>
    <xf numFmtId="6" fontId="8" fillId="5" borderId="6" xfId="0" applyNumberFormat="1" applyFont="1" applyFill="1" applyBorder="1" applyAlignment="1">
      <alignment horizontal="center"/>
    </xf>
    <xf numFmtId="6" fontId="8" fillId="6" borderId="5" xfId="0" applyNumberFormat="1" applyFont="1" applyFill="1" applyBorder="1" applyAlignment="1">
      <alignment horizontal="center"/>
    </xf>
    <xf numFmtId="6" fontId="8" fillId="6" borderId="2" xfId="0" applyNumberFormat="1" applyFont="1" applyFill="1" applyBorder="1" applyAlignment="1">
      <alignment horizontal="center"/>
    </xf>
    <xf numFmtId="6" fontId="8" fillId="6" borderId="6" xfId="0" applyNumberFormat="1" applyFont="1" applyFill="1" applyBorder="1" applyAlignment="1">
      <alignment horizontal="center"/>
    </xf>
    <xf numFmtId="6" fontId="8" fillId="2" borderId="5" xfId="0" applyNumberFormat="1" applyFont="1" applyFill="1" applyBorder="1" applyAlignment="1">
      <alignment horizontal="center" wrapText="1"/>
    </xf>
    <xf numFmtId="6" fontId="8" fillId="2" borderId="2" xfId="0" applyNumberFormat="1" applyFont="1" applyFill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6" fontId="8" fillId="7" borderId="2" xfId="0" applyNumberFormat="1" applyFont="1" applyFill="1" applyBorder="1" applyAlignment="1">
      <alignment horizontal="center"/>
    </xf>
    <xf numFmtId="6" fontId="8" fillId="7" borderId="6" xfId="0" applyNumberFormat="1" applyFont="1" applyFill="1" applyBorder="1" applyAlignment="1">
      <alignment horizontal="center"/>
    </xf>
    <xf numFmtId="6" fontId="8" fillId="6" borderId="31" xfId="0" applyNumberFormat="1" applyFont="1" applyFill="1" applyBorder="1" applyAlignment="1">
      <alignment horizontal="center"/>
    </xf>
    <xf numFmtId="6" fontId="8" fillId="6" borderId="28" xfId="0" applyNumberFormat="1" applyFont="1" applyFill="1" applyBorder="1" applyAlignment="1">
      <alignment horizontal="center"/>
    </xf>
    <xf numFmtId="6" fontId="8" fillId="6" borderId="35" xfId="0" applyNumberFormat="1" applyFont="1" applyFill="1" applyBorder="1" applyAlignment="1">
      <alignment horizontal="center"/>
    </xf>
    <xf numFmtId="6" fontId="20" fillId="0" borderId="0" xfId="0" applyNumberFormat="1" applyFont="1" applyAlignment="1">
      <alignment horizontal="left" wrapText="1"/>
    </xf>
    <xf numFmtId="0" fontId="21" fillId="0" borderId="0" xfId="0" applyFont="1" applyAlignment="1">
      <alignment wrapText="1"/>
    </xf>
    <xf numFmtId="6" fontId="8" fillId="2" borderId="31" xfId="0" applyNumberFormat="1" applyFont="1" applyFill="1" applyBorder="1" applyAlignment="1">
      <alignment horizontal="center" wrapText="1"/>
    </xf>
    <xf numFmtId="6" fontId="8" fillId="2" borderId="28" xfId="0" applyNumberFormat="1" applyFont="1" applyFill="1" applyBorder="1" applyAlignment="1">
      <alignment horizontal="center" wrapText="1"/>
    </xf>
    <xf numFmtId="0" fontId="17" fillId="0" borderId="35" xfId="0" applyFont="1" applyBorder="1" applyAlignment="1">
      <alignment horizontal="center" wrapText="1"/>
    </xf>
    <xf numFmtId="6" fontId="8" fillId="7" borderId="28" xfId="0" applyNumberFormat="1" applyFont="1" applyFill="1" applyBorder="1" applyAlignment="1">
      <alignment horizontal="center"/>
    </xf>
    <xf numFmtId="6" fontId="8" fillId="7" borderId="35" xfId="0" applyNumberFormat="1" applyFont="1" applyFill="1" applyBorder="1" applyAlignment="1">
      <alignment horizontal="center"/>
    </xf>
    <xf numFmtId="6" fontId="16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6" fontId="8" fillId="9" borderId="31" xfId="0" applyNumberFormat="1" applyFont="1" applyFill="1" applyBorder="1" applyAlignment="1">
      <alignment horizontal="center"/>
    </xf>
    <xf numFmtId="6" fontId="8" fillId="9" borderId="28" xfId="0" applyNumberFormat="1" applyFont="1" applyFill="1" applyBorder="1" applyAlignment="1">
      <alignment horizontal="center"/>
    </xf>
    <xf numFmtId="6" fontId="8" fillId="9" borderId="35" xfId="0" applyNumberFormat="1" applyFont="1" applyFill="1" applyBorder="1" applyAlignment="1">
      <alignment horizontal="center"/>
    </xf>
    <xf numFmtId="6" fontId="8" fillId="7" borderId="5" xfId="0" applyNumberFormat="1" applyFont="1" applyFill="1" applyBorder="1" applyAlignment="1">
      <alignment horizontal="center"/>
    </xf>
    <xf numFmtId="14" fontId="16" fillId="0" borderId="0" xfId="0" applyNumberFormat="1" applyFont="1" applyAlignment="1">
      <alignment horizontal="left" wrapText="1"/>
    </xf>
    <xf numFmtId="6" fontId="8" fillId="5" borderId="31" xfId="0" applyNumberFormat="1" applyFont="1" applyFill="1" applyBorder="1" applyAlignment="1">
      <alignment horizontal="center"/>
    </xf>
    <xf numFmtId="6" fontId="8" fillId="5" borderId="28" xfId="0" applyNumberFormat="1" applyFont="1" applyFill="1" applyBorder="1" applyAlignment="1">
      <alignment horizontal="center"/>
    </xf>
    <xf numFmtId="6" fontId="8" fillId="5" borderId="35" xfId="0" applyNumberFormat="1" applyFont="1" applyFill="1" applyBorder="1" applyAlignment="1">
      <alignment horizontal="center"/>
    </xf>
    <xf numFmtId="6" fontId="4" fillId="0" borderId="0" xfId="0" applyNumberFormat="1" applyFont="1" applyAlignment="1">
      <alignment horizontal="left" wrapText="1"/>
    </xf>
    <xf numFmtId="6" fontId="25" fillId="0" borderId="0" xfId="0" applyNumberFormat="1" applyFont="1" applyAlignment="1">
      <alignment wrapText="1"/>
    </xf>
    <xf numFmtId="6" fontId="8" fillId="0" borderId="0" xfId="0" applyNumberFormat="1" applyFont="1" applyAlignment="1">
      <alignment wrapText="1"/>
    </xf>
    <xf numFmtId="6" fontId="22" fillId="0" borderId="0" xfId="0" applyNumberFormat="1" applyFont="1" applyAlignment="1">
      <alignment horizontal="left" wrapText="1"/>
    </xf>
    <xf numFmtId="0" fontId="23" fillId="0" borderId="0" xfId="0" applyFont="1" applyAlignment="1">
      <alignment wrapText="1"/>
    </xf>
    <xf numFmtId="6" fontId="18" fillId="0" borderId="15" xfId="0" applyNumberFormat="1" applyFont="1" applyBorder="1" applyAlignment="1">
      <alignment wrapText="1"/>
    </xf>
    <xf numFmtId="0" fontId="0" fillId="0" borderId="6" xfId="0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rgb="FFFFFF00"/>
  </sheetPr>
  <dimension ref="A1:Z31"/>
  <sheetViews>
    <sheetView view="pageBreakPreview" zoomScale="63" zoomScaleNormal="100" zoomScaleSheetLayoutView="75" workbookViewId="0">
      <selection activeCell="C11" sqref="C11"/>
    </sheetView>
  </sheetViews>
  <sheetFormatPr defaultRowHeight="12.75" x14ac:dyDescent="0.2"/>
  <cols>
    <col min="1" max="1" width="41" style="5" customWidth="1"/>
    <col min="2" max="2" width="20.28515625" style="15" customWidth="1"/>
    <col min="3" max="3" width="16.140625" style="15" customWidth="1"/>
    <col min="4" max="4" width="17.140625" style="15" customWidth="1"/>
    <col min="5" max="7" width="14.28515625" style="15" customWidth="1"/>
    <col min="8" max="8" width="15.28515625" style="15" customWidth="1"/>
    <col min="9" max="9" width="16.28515625" style="15" customWidth="1"/>
    <col min="10" max="10" width="15" style="15" customWidth="1"/>
    <col min="11" max="11" width="17" style="15" customWidth="1"/>
    <col min="12" max="15" width="18.7109375" style="15" customWidth="1"/>
    <col min="16" max="16" width="18.5703125" style="15" customWidth="1"/>
    <col min="17" max="17" width="17.140625" style="15" customWidth="1"/>
    <col min="18" max="19" width="16.85546875" style="15" customWidth="1"/>
    <col min="20" max="20" width="16.7109375" style="15" customWidth="1"/>
    <col min="21" max="21" width="15.7109375" style="15" customWidth="1"/>
    <col min="22" max="22" width="18.85546875" style="15" customWidth="1"/>
    <col min="23" max="23" width="16.85546875" style="15" customWidth="1"/>
    <col min="24" max="24" width="18.7109375" style="15" customWidth="1"/>
    <col min="25" max="25" width="29.85546875" style="15" customWidth="1"/>
    <col min="26" max="26" width="18.140625" style="15" bestFit="1" customWidth="1"/>
    <col min="27" max="16384" width="9.140625" style="15"/>
  </cols>
  <sheetData>
    <row r="1" spans="1:26" s="2" customFormat="1" ht="51.75" customHeight="1" x14ac:dyDescent="0.4">
      <c r="A1" s="315" t="s">
        <v>75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</row>
    <row r="2" spans="1:26" s="2" customFormat="1" ht="4.5" customHeight="1" x14ac:dyDescent="0.45">
      <c r="A2" s="160"/>
      <c r="B2" s="161"/>
      <c r="C2" s="161"/>
      <c r="D2" s="161"/>
      <c r="E2" s="161"/>
      <c r="F2" s="161"/>
      <c r="G2" s="161"/>
      <c r="H2" s="161"/>
      <c r="I2" s="161"/>
      <c r="J2" s="284"/>
      <c r="K2" s="159"/>
      <c r="L2" s="159"/>
      <c r="M2" s="159"/>
      <c r="N2" s="159"/>
      <c r="O2" s="159"/>
      <c r="P2" s="159"/>
      <c r="Q2" s="159"/>
      <c r="R2" s="281"/>
      <c r="S2" s="159"/>
      <c r="T2" s="159"/>
      <c r="U2" s="159"/>
      <c r="V2" s="159"/>
      <c r="W2" s="159"/>
      <c r="X2" s="159"/>
      <c r="Y2" s="159"/>
    </row>
    <row r="3" spans="1:26" s="2" customFormat="1" ht="49.5" customHeight="1" x14ac:dyDescent="0.45">
      <c r="A3" s="322"/>
      <c r="B3" s="323"/>
      <c r="C3" s="323"/>
      <c r="D3" s="323"/>
      <c r="E3" s="323"/>
      <c r="F3" s="323"/>
      <c r="G3" s="323"/>
      <c r="H3" s="323"/>
      <c r="I3" s="32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283"/>
    </row>
    <row r="4" spans="1:26" s="2" customFormat="1" ht="6" customHeight="1" x14ac:dyDescent="0.3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8"/>
      <c r="U4" s="8"/>
      <c r="V4" s="8"/>
      <c r="W4" s="8"/>
      <c r="X4" s="7"/>
      <c r="Y4" s="7"/>
    </row>
    <row r="5" spans="1:26" s="2" customFormat="1" ht="1.5" customHeight="1" x14ac:dyDescent="0.2">
      <c r="A5" s="9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10"/>
      <c r="U5" s="10"/>
      <c r="V5" s="10"/>
      <c r="W5" s="10"/>
      <c r="X5" s="7"/>
    </row>
    <row r="6" spans="1:26" hidden="1" x14ac:dyDescent="0.2">
      <c r="A6" s="11"/>
      <c r="B6" s="12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3"/>
      <c r="O6" s="13"/>
      <c r="P6" s="13"/>
      <c r="Q6" s="13"/>
      <c r="R6" s="13"/>
      <c r="S6" s="13"/>
      <c r="T6" s="14"/>
      <c r="U6" s="14"/>
      <c r="V6" s="14"/>
      <c r="W6" s="14"/>
      <c r="X6" s="12"/>
    </row>
    <row r="7" spans="1:26" s="18" customFormat="1" ht="42" customHeight="1" x14ac:dyDescent="0.35">
      <c r="A7" s="285"/>
      <c r="B7" s="324" t="s">
        <v>0</v>
      </c>
      <c r="C7" s="325"/>
      <c r="D7" s="325"/>
      <c r="E7" s="325"/>
      <c r="F7" s="325"/>
      <c r="G7" s="325"/>
      <c r="H7" s="325"/>
      <c r="I7" s="325"/>
      <c r="J7" s="325"/>
      <c r="K7" s="326"/>
      <c r="L7" s="312" t="s">
        <v>46</v>
      </c>
      <c r="M7" s="313"/>
      <c r="N7" s="313"/>
      <c r="O7" s="314"/>
      <c r="P7" s="320" t="s">
        <v>43</v>
      </c>
      <c r="Q7" s="320"/>
      <c r="R7" s="320"/>
      <c r="S7" s="321"/>
      <c r="T7" s="317" t="s">
        <v>1</v>
      </c>
      <c r="U7" s="318"/>
      <c r="V7" s="318"/>
      <c r="W7" s="319"/>
      <c r="X7" s="16" t="s">
        <v>2</v>
      </c>
      <c r="Y7" s="17" t="s">
        <v>44</v>
      </c>
    </row>
    <row r="8" spans="1:26" s="32" customFormat="1" ht="66.75" customHeight="1" x14ac:dyDescent="0.25">
      <c r="A8" s="286"/>
      <c r="B8" s="20" t="s">
        <v>3</v>
      </c>
      <c r="C8" s="21" t="s">
        <v>4</v>
      </c>
      <c r="D8" s="21" t="s">
        <v>5</v>
      </c>
      <c r="E8" s="21" t="s">
        <v>6</v>
      </c>
      <c r="F8" s="21" t="s">
        <v>7</v>
      </c>
      <c r="G8" s="21" t="s">
        <v>8</v>
      </c>
      <c r="H8" s="21" t="s">
        <v>9</v>
      </c>
      <c r="I8" s="21" t="s">
        <v>54</v>
      </c>
      <c r="J8" s="21" t="s">
        <v>89</v>
      </c>
      <c r="K8" s="22" t="s">
        <v>90</v>
      </c>
      <c r="L8" s="23" t="s">
        <v>11</v>
      </c>
      <c r="M8" s="24" t="s">
        <v>12</v>
      </c>
      <c r="N8" s="24" t="s">
        <v>56</v>
      </c>
      <c r="O8" s="25" t="s">
        <v>13</v>
      </c>
      <c r="P8" s="26" t="s">
        <v>14</v>
      </c>
      <c r="Q8" s="26" t="s">
        <v>15</v>
      </c>
      <c r="R8" s="26" t="s">
        <v>16</v>
      </c>
      <c r="S8" s="27" t="s">
        <v>81</v>
      </c>
      <c r="T8" s="28" t="s">
        <v>66</v>
      </c>
      <c r="U8" s="28" t="s">
        <v>64</v>
      </c>
      <c r="V8" s="28" t="s">
        <v>65</v>
      </c>
      <c r="W8" s="29" t="s">
        <v>18</v>
      </c>
      <c r="X8" s="30" t="s">
        <v>2</v>
      </c>
      <c r="Y8" s="31" t="s">
        <v>19</v>
      </c>
    </row>
    <row r="9" spans="1:26" s="18" customFormat="1" ht="35.25" customHeight="1" x14ac:dyDescent="0.35">
      <c r="A9" s="179" t="str">
        <f>SchedAUpdated!A24</f>
        <v>Total Revenues</v>
      </c>
      <c r="B9" s="182">
        <f>SchedAUpdated!B24</f>
        <v>57519522</v>
      </c>
      <c r="C9" s="180">
        <f>SchedAUpdated!C24</f>
        <v>65000</v>
      </c>
      <c r="D9" s="180">
        <f>SchedAUpdated!D24</f>
        <v>1582000</v>
      </c>
      <c r="E9" s="180">
        <f>SchedAUpdated!E24</f>
        <v>0</v>
      </c>
      <c r="F9" s="180">
        <f>SchedAUpdated!F24</f>
        <v>8670</v>
      </c>
      <c r="G9" s="180">
        <f>SchedAUpdated!G24</f>
        <v>0</v>
      </c>
      <c r="H9" s="180">
        <f>SchedAUpdated!H24</f>
        <v>82000</v>
      </c>
      <c r="I9" s="180">
        <f>SchedAUpdated!I24</f>
        <v>83516</v>
      </c>
      <c r="J9" s="180">
        <v>108355</v>
      </c>
      <c r="K9" s="183">
        <v>546645</v>
      </c>
      <c r="L9" s="182">
        <f>SchedAUpdated!L24</f>
        <v>8680500</v>
      </c>
      <c r="M9" s="180">
        <f>SchedAUpdated!M24</f>
        <v>3291500</v>
      </c>
      <c r="N9" s="180">
        <f>SchedAUpdated!N24</f>
        <v>2902000</v>
      </c>
      <c r="O9" s="183">
        <f>SchedAUpdated!O24</f>
        <v>4897798</v>
      </c>
      <c r="P9" s="180">
        <f>SchedAUpdated!P24</f>
        <v>6302681</v>
      </c>
      <c r="Q9" s="180">
        <f>SchedAUpdated!Q24</f>
        <v>1027417</v>
      </c>
      <c r="R9" s="180">
        <f>SchedAUpdated!R24</f>
        <v>456350</v>
      </c>
      <c r="S9" s="183">
        <v>626088</v>
      </c>
      <c r="T9" s="184">
        <v>40000</v>
      </c>
      <c r="U9" s="184">
        <v>75000</v>
      </c>
      <c r="V9" s="184">
        <v>50000</v>
      </c>
      <c r="W9" s="276">
        <v>0</v>
      </c>
      <c r="X9" s="185">
        <f>SchedAUpdated!$V$24</f>
        <v>5892800</v>
      </c>
      <c r="Y9" s="180">
        <f>SchedAUpdated!W24</f>
        <v>100722053</v>
      </c>
    </row>
    <row r="10" spans="1:26" ht="27.95" customHeight="1" x14ac:dyDescent="0.25">
      <c r="A10" s="166" t="s">
        <v>87</v>
      </c>
      <c r="B10" s="43" t="e">
        <f>#REF!</f>
        <v>#REF!</v>
      </c>
      <c r="C10" s="44">
        <v>259793</v>
      </c>
      <c r="D10" s="44">
        <f>1863432</f>
        <v>1863432</v>
      </c>
      <c r="E10" s="44"/>
      <c r="F10" s="44"/>
      <c r="G10" s="44">
        <v>23500</v>
      </c>
      <c r="H10" s="44">
        <v>63192</v>
      </c>
      <c r="I10" s="44">
        <f>59130</f>
        <v>59130</v>
      </c>
      <c r="J10" s="44"/>
      <c r="K10" s="45">
        <v>782701</v>
      </c>
      <c r="L10" s="46">
        <v>9157584</v>
      </c>
      <c r="M10" s="47">
        <v>2865973</v>
      </c>
      <c r="N10" s="47">
        <v>1877797</v>
      </c>
      <c r="O10" s="48">
        <v>4615612</v>
      </c>
      <c r="P10" s="49">
        <f>6488396</f>
        <v>6488396</v>
      </c>
      <c r="Q10" s="49">
        <v>1071405</v>
      </c>
      <c r="R10" s="49">
        <v>446384</v>
      </c>
      <c r="S10" s="50">
        <v>551811</v>
      </c>
      <c r="T10" s="51"/>
      <c r="U10" s="51"/>
      <c r="V10" s="51">
        <v>3000</v>
      </c>
      <c r="W10" s="51"/>
      <c r="X10" s="52">
        <v>6366575</v>
      </c>
      <c r="Y10" s="53" t="e">
        <f>SUM(B10:X10)</f>
        <v>#REF!</v>
      </c>
      <c r="Z10" s="15" t="e">
        <f>SUM(Y10-W10)</f>
        <v>#REF!</v>
      </c>
    </row>
    <row r="11" spans="1:26" ht="27.95" customHeight="1" x14ac:dyDescent="0.25">
      <c r="A11" s="166" t="s">
        <v>88</v>
      </c>
      <c r="B11" s="43" t="e">
        <f>#REF!</f>
        <v>#REF!</v>
      </c>
      <c r="C11" s="44">
        <v>57700</v>
      </c>
      <c r="D11" s="44">
        <v>76622</v>
      </c>
      <c r="E11" s="44"/>
      <c r="F11" s="44"/>
      <c r="G11" s="44"/>
      <c r="H11" s="44">
        <v>10000</v>
      </c>
      <c r="I11" s="44">
        <v>960</v>
      </c>
      <c r="J11" s="44"/>
      <c r="K11" s="45">
        <v>21173</v>
      </c>
      <c r="L11" s="46">
        <v>119789</v>
      </c>
      <c r="M11" s="47">
        <v>37780</v>
      </c>
      <c r="N11" s="47">
        <v>236184</v>
      </c>
      <c r="O11" s="48">
        <v>184304</v>
      </c>
      <c r="P11" s="49">
        <v>176450</v>
      </c>
      <c r="Q11" s="49">
        <v>91320</v>
      </c>
      <c r="R11" s="49">
        <v>870</v>
      </c>
      <c r="S11" s="50">
        <v>10990</v>
      </c>
      <c r="T11" s="51"/>
      <c r="U11" s="51"/>
      <c r="V11" s="51"/>
      <c r="W11" s="51"/>
      <c r="X11" s="52"/>
      <c r="Y11" s="53" t="e">
        <f>SUM(B11:X11)</f>
        <v>#REF!</v>
      </c>
      <c r="Z11" s="15" t="e">
        <f>SUM(Y11-W11)</f>
        <v>#REF!</v>
      </c>
    </row>
    <row r="12" spans="1:26" ht="27.95" customHeight="1" x14ac:dyDescent="0.25">
      <c r="A12" s="166" t="s">
        <v>91</v>
      </c>
      <c r="B12" s="123">
        <v>3606566</v>
      </c>
      <c r="C12" s="44">
        <v>10000</v>
      </c>
      <c r="D12" s="44">
        <v>0</v>
      </c>
      <c r="E12" s="44"/>
      <c r="F12" s="44"/>
      <c r="G12" s="44"/>
      <c r="H12" s="44"/>
      <c r="I12" s="44"/>
      <c r="J12" s="44"/>
      <c r="K12" s="45"/>
      <c r="L12" s="46">
        <v>498971</v>
      </c>
      <c r="M12" s="47">
        <v>135000</v>
      </c>
      <c r="N12" s="47">
        <v>55000</v>
      </c>
      <c r="O12" s="48"/>
      <c r="P12" s="49"/>
      <c r="Q12" s="49"/>
      <c r="R12" s="49"/>
      <c r="S12" s="50">
        <v>40000</v>
      </c>
      <c r="T12" s="51"/>
      <c r="U12" s="51"/>
      <c r="V12" s="51"/>
      <c r="W12" s="51"/>
      <c r="X12" s="52"/>
      <c r="Y12" s="125">
        <f>SUM(B12:X12)</f>
        <v>4345537</v>
      </c>
      <c r="Z12" s="15">
        <f>SUM(Y12-W12)</f>
        <v>4345537</v>
      </c>
    </row>
    <row r="13" spans="1:26" ht="27.95" customHeight="1" x14ac:dyDescent="0.25">
      <c r="A13" s="167" t="s">
        <v>92</v>
      </c>
      <c r="B13" s="222" t="e">
        <f>#REF!</f>
        <v>#REF!</v>
      </c>
      <c r="C13" s="223">
        <v>132000</v>
      </c>
      <c r="D13" s="223">
        <v>127000</v>
      </c>
      <c r="E13" s="223"/>
      <c r="F13" s="223"/>
      <c r="G13" s="223"/>
      <c r="H13" s="223"/>
      <c r="I13" s="223"/>
      <c r="J13" s="223">
        <v>191500</v>
      </c>
      <c r="K13" s="224">
        <v>145500</v>
      </c>
      <c r="L13" s="225">
        <v>25000</v>
      </c>
      <c r="M13" s="226">
        <v>255500</v>
      </c>
      <c r="N13" s="226">
        <v>470000</v>
      </c>
      <c r="O13" s="227"/>
      <c r="P13" s="228"/>
      <c r="Q13" s="228"/>
      <c r="R13" s="228"/>
      <c r="S13" s="229">
        <v>21500</v>
      </c>
      <c r="T13" s="230"/>
      <c r="U13" s="230">
        <v>125000</v>
      </c>
      <c r="V13" s="230"/>
      <c r="W13" s="230"/>
      <c r="X13" s="231"/>
      <c r="Y13" s="232" t="e">
        <f>SUM(B13:X13)</f>
        <v>#REF!</v>
      </c>
      <c r="Z13" s="15" t="e">
        <f>SUM(Y13-W13)</f>
        <v>#REF!</v>
      </c>
    </row>
    <row r="14" spans="1:26" s="80" customFormat="1" ht="39" customHeight="1" x14ac:dyDescent="0.35">
      <c r="A14" s="179" t="s">
        <v>67</v>
      </c>
      <c r="B14" s="263" t="e">
        <f t="shared" ref="B14:Y14" si="0">SUM(B10:B13)</f>
        <v>#REF!</v>
      </c>
      <c r="C14" s="264">
        <f t="shared" si="0"/>
        <v>459493</v>
      </c>
      <c r="D14" s="264">
        <f t="shared" si="0"/>
        <v>2067054</v>
      </c>
      <c r="E14" s="264">
        <f t="shared" si="0"/>
        <v>0</v>
      </c>
      <c r="F14" s="264">
        <f t="shared" si="0"/>
        <v>0</v>
      </c>
      <c r="G14" s="264">
        <f t="shared" si="0"/>
        <v>23500</v>
      </c>
      <c r="H14" s="264">
        <f t="shared" si="0"/>
        <v>73192</v>
      </c>
      <c r="I14" s="264">
        <f t="shared" si="0"/>
        <v>60090</v>
      </c>
      <c r="J14" s="264">
        <f t="shared" ref="J14" si="1">SUM(J10:J13)</f>
        <v>191500</v>
      </c>
      <c r="K14" s="265">
        <f t="shared" si="0"/>
        <v>949374</v>
      </c>
      <c r="L14" s="263">
        <f t="shared" si="0"/>
        <v>9801344</v>
      </c>
      <c r="M14" s="264">
        <f t="shared" si="0"/>
        <v>3294253</v>
      </c>
      <c r="N14" s="264">
        <f t="shared" si="0"/>
        <v>2638981</v>
      </c>
      <c r="O14" s="265">
        <f t="shared" si="0"/>
        <v>4799916</v>
      </c>
      <c r="P14" s="264">
        <f t="shared" si="0"/>
        <v>6664846</v>
      </c>
      <c r="Q14" s="264">
        <f t="shared" si="0"/>
        <v>1162725</v>
      </c>
      <c r="R14" s="264">
        <f t="shared" ref="R14" si="2">SUM(R10:R13)</f>
        <v>447254</v>
      </c>
      <c r="S14" s="265">
        <f t="shared" si="0"/>
        <v>624301</v>
      </c>
      <c r="T14" s="264">
        <f t="shared" si="0"/>
        <v>0</v>
      </c>
      <c r="U14" s="264">
        <f t="shared" si="0"/>
        <v>125000</v>
      </c>
      <c r="V14" s="264">
        <f t="shared" si="0"/>
        <v>3000</v>
      </c>
      <c r="W14" s="264">
        <f t="shared" si="0"/>
        <v>0</v>
      </c>
      <c r="X14" s="266">
        <f t="shared" si="0"/>
        <v>6366575</v>
      </c>
      <c r="Y14" s="267" t="e">
        <f t="shared" si="0"/>
        <v>#REF!</v>
      </c>
      <c r="Z14" s="80" t="e">
        <f>SUM(B14:X14)</f>
        <v>#REF!</v>
      </c>
    </row>
    <row r="15" spans="1:26" s="242" customFormat="1" ht="4.5" customHeight="1" x14ac:dyDescent="0.35">
      <c r="A15" s="114"/>
      <c r="B15" s="237"/>
      <c r="C15" s="238"/>
      <c r="D15" s="238"/>
      <c r="E15" s="238"/>
      <c r="F15" s="238"/>
      <c r="G15" s="238"/>
      <c r="H15" s="238"/>
      <c r="I15" s="238"/>
      <c r="J15" s="238"/>
      <c r="K15" s="239"/>
      <c r="L15" s="237"/>
      <c r="M15" s="238"/>
      <c r="N15" s="238"/>
      <c r="O15" s="239"/>
      <c r="P15" s="238"/>
      <c r="Q15" s="238"/>
      <c r="R15" s="238"/>
      <c r="S15" s="239"/>
      <c r="T15" s="238"/>
      <c r="U15" s="238"/>
      <c r="V15" s="238"/>
      <c r="W15" s="238"/>
      <c r="X15" s="240"/>
      <c r="Y15" s="241"/>
    </row>
    <row r="16" spans="1:26" s="242" customFormat="1" ht="33" customHeight="1" x14ac:dyDescent="0.35">
      <c r="A16" s="243" t="s">
        <v>62</v>
      </c>
      <c r="B16" s="244" t="e">
        <f t="shared" ref="B16:Y16" si="3">SUM(B9-B14)</f>
        <v>#REF!</v>
      </c>
      <c r="C16" s="211">
        <f t="shared" si="3"/>
        <v>-394493</v>
      </c>
      <c r="D16" s="211">
        <f t="shared" si="3"/>
        <v>-485054</v>
      </c>
      <c r="E16" s="211">
        <f t="shared" si="3"/>
        <v>0</v>
      </c>
      <c r="F16" s="211">
        <f t="shared" si="3"/>
        <v>8670</v>
      </c>
      <c r="G16" s="211">
        <f t="shared" si="3"/>
        <v>-23500</v>
      </c>
      <c r="H16" s="211">
        <f t="shared" si="3"/>
        <v>8808</v>
      </c>
      <c r="I16" s="211">
        <f t="shared" si="3"/>
        <v>23426</v>
      </c>
      <c r="J16" s="211">
        <f t="shared" ref="J16" si="4">SUM(J9-J14)</f>
        <v>-83145</v>
      </c>
      <c r="K16" s="245">
        <f t="shared" si="3"/>
        <v>-402729</v>
      </c>
      <c r="L16" s="244">
        <f t="shared" si="3"/>
        <v>-1120844</v>
      </c>
      <c r="M16" s="211">
        <f t="shared" si="3"/>
        <v>-2753</v>
      </c>
      <c r="N16" s="211">
        <f t="shared" si="3"/>
        <v>263019</v>
      </c>
      <c r="O16" s="245">
        <f t="shared" si="3"/>
        <v>97882</v>
      </c>
      <c r="P16" s="211">
        <f t="shared" si="3"/>
        <v>-362165</v>
      </c>
      <c r="Q16" s="211">
        <f t="shared" si="3"/>
        <v>-135308</v>
      </c>
      <c r="R16" s="211">
        <f t="shared" ref="R16" si="5">SUM(R9-R14)</f>
        <v>9096</v>
      </c>
      <c r="S16" s="245">
        <f t="shared" si="3"/>
        <v>1787</v>
      </c>
      <c r="T16" s="211">
        <f t="shared" si="3"/>
        <v>40000</v>
      </c>
      <c r="U16" s="211">
        <f t="shared" si="3"/>
        <v>-50000</v>
      </c>
      <c r="V16" s="211">
        <f t="shared" si="3"/>
        <v>47000</v>
      </c>
      <c r="W16" s="211">
        <f t="shared" si="3"/>
        <v>0</v>
      </c>
      <c r="X16" s="246">
        <f t="shared" si="3"/>
        <v>-473775</v>
      </c>
      <c r="Y16" s="247" t="e">
        <f t="shared" si="3"/>
        <v>#REF!</v>
      </c>
    </row>
    <row r="17" spans="1:25" customFormat="1" ht="15" customHeight="1" x14ac:dyDescent="0.2">
      <c r="B17" s="268"/>
      <c r="K17" s="282"/>
      <c r="L17" s="268"/>
      <c r="P17" s="268"/>
      <c r="S17" s="282"/>
      <c r="T17" s="268"/>
      <c r="X17" s="268"/>
      <c r="Y17" s="268"/>
    </row>
    <row r="18" spans="1:25" s="254" customFormat="1" ht="33" customHeight="1" x14ac:dyDescent="0.3">
      <c r="A18" s="248" t="str">
        <f>SchedAUpdated!A9</f>
        <v xml:space="preserve">FY 13 Estimated Beginning Available Fund Balance:   </v>
      </c>
      <c r="B18" s="249">
        <f>SchedAUpdated!B9</f>
        <v>23436892</v>
      </c>
      <c r="C18" s="250">
        <f>SchedAUpdated!C9</f>
        <v>349165</v>
      </c>
      <c r="D18" s="250">
        <f>SchedAUpdated!D9</f>
        <v>913315</v>
      </c>
      <c r="E18" s="250">
        <f>SchedAUpdated!E9</f>
        <v>444101</v>
      </c>
      <c r="F18" s="250">
        <f>SchedAUpdated!F9</f>
        <v>169553</v>
      </c>
      <c r="G18" s="250">
        <f>SchedAUpdated!G9</f>
        <v>79624</v>
      </c>
      <c r="H18" s="250">
        <f>SchedAUpdated!H9</f>
        <v>120633</v>
      </c>
      <c r="I18" s="250">
        <f>SchedAUpdated!I9</f>
        <v>0</v>
      </c>
      <c r="J18" s="250">
        <f>147888</f>
        <v>147888</v>
      </c>
      <c r="K18" s="251">
        <f>736253</f>
        <v>736253</v>
      </c>
      <c r="L18" s="249">
        <f>SchedAUpdated!L7</f>
        <v>10907236</v>
      </c>
      <c r="M18" s="250">
        <f>SchedAUpdated!M7</f>
        <v>3987467</v>
      </c>
      <c r="N18" s="250">
        <f>SchedAUpdated!N7</f>
        <v>0</v>
      </c>
      <c r="O18" s="251">
        <f>SchedAUpdated!O7</f>
        <v>1300102</v>
      </c>
      <c r="P18" s="250">
        <f>SchedAUpdated!P9</f>
        <v>1748737</v>
      </c>
      <c r="Q18" s="250">
        <f>SchedAUpdated!Q9</f>
        <v>1735997</v>
      </c>
      <c r="R18" s="250">
        <f>SchedAUpdated!Q9</f>
        <v>1735997</v>
      </c>
      <c r="S18" s="251">
        <f>SchedAUpdated!S9</f>
        <v>0</v>
      </c>
      <c r="T18" s="250">
        <v>1469000</v>
      </c>
      <c r="U18" s="250">
        <v>317048</v>
      </c>
      <c r="V18" s="250">
        <v>713129</v>
      </c>
      <c r="W18" s="251">
        <f>SchedAUpdated!U9</f>
        <v>638677</v>
      </c>
      <c r="X18" s="252">
        <f>SchedAUpdated!V9</f>
        <v>1519376</v>
      </c>
      <c r="Y18" s="253">
        <f>SchedAUpdated!W9</f>
        <v>48129905</v>
      </c>
    </row>
    <row r="19" spans="1:25" s="80" customFormat="1" ht="15" customHeight="1" x14ac:dyDescent="0.35">
      <c r="A19" s="114"/>
      <c r="B19" s="115"/>
      <c r="C19" s="116"/>
      <c r="D19" s="116"/>
      <c r="E19" s="116"/>
      <c r="F19" s="116"/>
      <c r="G19" s="116"/>
      <c r="H19" s="116"/>
      <c r="I19" s="116"/>
      <c r="J19" s="116"/>
      <c r="K19" s="117"/>
      <c r="L19" s="115"/>
      <c r="M19" s="116"/>
      <c r="N19" s="116"/>
      <c r="O19" s="117"/>
      <c r="P19" s="116"/>
      <c r="Q19" s="116"/>
      <c r="R19" s="116"/>
      <c r="S19" s="117"/>
      <c r="T19" s="116"/>
      <c r="U19" s="116"/>
      <c r="V19" s="116"/>
      <c r="W19" s="116"/>
      <c r="X19" s="118"/>
      <c r="Y19" s="119"/>
    </row>
    <row r="20" spans="1:25" s="120" customFormat="1" ht="42.75" customHeight="1" x14ac:dyDescent="0.3">
      <c r="A20" s="255" t="s">
        <v>85</v>
      </c>
      <c r="B20" s="278" t="e">
        <f>B14*25%</f>
        <v>#REF!</v>
      </c>
      <c r="C20" s="256"/>
      <c r="D20" s="234"/>
      <c r="E20" s="234"/>
      <c r="F20" s="234"/>
      <c r="G20" s="234"/>
      <c r="H20" s="234"/>
      <c r="I20" s="234"/>
      <c r="J20" s="234"/>
      <c r="K20" s="235"/>
      <c r="L20" s="233">
        <f>SchedAUpdated!L49</f>
        <v>1634956.7592999998</v>
      </c>
      <c r="M20" s="234">
        <f>SchedAUpdated!M49</f>
        <v>559093.96309999994</v>
      </c>
      <c r="N20" s="234">
        <f>SchedAUpdated!N49</f>
        <v>440138.17669999995</v>
      </c>
      <c r="O20" s="235">
        <f>SchedAUpdated!O49</f>
        <v>805136.32839999988</v>
      </c>
      <c r="P20" s="234"/>
      <c r="Q20" s="234"/>
      <c r="R20" s="234"/>
      <c r="S20" s="235"/>
      <c r="T20" s="234"/>
      <c r="U20" s="234"/>
      <c r="V20" s="234"/>
      <c r="W20" s="234"/>
      <c r="X20" s="236"/>
      <c r="Y20" s="257" t="e">
        <f>SUM(B20:X20)</f>
        <v>#REF!</v>
      </c>
    </row>
    <row r="21" spans="1:25" s="120" customFormat="1" ht="48.75" customHeight="1" x14ac:dyDescent="0.3">
      <c r="A21" s="248" t="s">
        <v>86</v>
      </c>
      <c r="B21" s="258" t="e">
        <f>SUM(B18-B20)+B16</f>
        <v>#REF!</v>
      </c>
      <c r="C21" s="259">
        <f t="shared" ref="C21:X21" si="6">SUM(C18-C20)+C16</f>
        <v>-45328</v>
      </c>
      <c r="D21" s="259">
        <f t="shared" si="6"/>
        <v>428261</v>
      </c>
      <c r="E21" s="259">
        <f t="shared" si="6"/>
        <v>444101</v>
      </c>
      <c r="F21" s="259">
        <f t="shared" si="6"/>
        <v>178223</v>
      </c>
      <c r="G21" s="259">
        <f t="shared" si="6"/>
        <v>56124</v>
      </c>
      <c r="H21" s="259">
        <f t="shared" si="6"/>
        <v>129441</v>
      </c>
      <c r="I21" s="259">
        <f t="shared" si="6"/>
        <v>23426</v>
      </c>
      <c r="J21" s="259">
        <f>SUM(J18-J20)+J16</f>
        <v>64743</v>
      </c>
      <c r="K21" s="260">
        <f t="shared" si="6"/>
        <v>333524</v>
      </c>
      <c r="L21" s="258">
        <f t="shared" si="6"/>
        <v>8151435.2407000009</v>
      </c>
      <c r="M21" s="259">
        <f t="shared" si="6"/>
        <v>3425620.0369000002</v>
      </c>
      <c r="N21" s="259">
        <f>SUM(N18-N20)+N16</f>
        <v>-177119.17669999995</v>
      </c>
      <c r="O21" s="260">
        <f t="shared" si="6"/>
        <v>592847.67160000012</v>
      </c>
      <c r="P21" s="259">
        <f t="shared" si="6"/>
        <v>1386572</v>
      </c>
      <c r="Q21" s="259">
        <f t="shared" si="6"/>
        <v>1600689</v>
      </c>
      <c r="R21" s="259">
        <f t="shared" si="6"/>
        <v>1745093</v>
      </c>
      <c r="S21" s="260">
        <f t="shared" si="6"/>
        <v>1787</v>
      </c>
      <c r="T21" s="259">
        <f t="shared" si="6"/>
        <v>1509000</v>
      </c>
      <c r="U21" s="259">
        <f t="shared" si="6"/>
        <v>267048</v>
      </c>
      <c r="V21" s="259">
        <f t="shared" si="6"/>
        <v>760129</v>
      </c>
      <c r="W21" s="259">
        <f t="shared" si="6"/>
        <v>638677</v>
      </c>
      <c r="X21" s="261">
        <f t="shared" si="6"/>
        <v>1045601</v>
      </c>
      <c r="Y21" s="262" t="e">
        <f>SUM(B21:X21)</f>
        <v>#REF!</v>
      </c>
    </row>
    <row r="22" spans="1:25" s="18" customFormat="1" ht="30" x14ac:dyDescent="0.2">
      <c r="A22" s="121"/>
      <c r="B22" s="301" t="s">
        <v>0</v>
      </c>
      <c r="C22" s="302"/>
      <c r="D22" s="302"/>
      <c r="E22" s="302"/>
      <c r="F22" s="302"/>
      <c r="G22" s="302"/>
      <c r="H22" s="302"/>
      <c r="I22" s="302"/>
      <c r="J22" s="302"/>
      <c r="K22" s="303"/>
      <c r="L22" s="304" t="s">
        <v>46</v>
      </c>
      <c r="M22" s="305"/>
      <c r="N22" s="305"/>
      <c r="O22" s="306"/>
      <c r="P22" s="310" t="s">
        <v>43</v>
      </c>
      <c r="Q22" s="310"/>
      <c r="R22" s="310"/>
      <c r="S22" s="311"/>
      <c r="T22" s="307" t="s">
        <v>1</v>
      </c>
      <c r="U22" s="308"/>
      <c r="V22" s="308"/>
      <c r="W22" s="309"/>
      <c r="X22" s="92" t="s">
        <v>2</v>
      </c>
      <c r="Y22" s="17" t="s">
        <v>44</v>
      </c>
    </row>
    <row r="25" spans="1:25" s="269" customFormat="1" ht="51" customHeight="1" x14ac:dyDescent="0.35">
      <c r="A25" s="279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280"/>
    </row>
    <row r="27" spans="1:25" s="2" customFormat="1" ht="15" x14ac:dyDescent="0.2">
      <c r="A27" s="181"/>
    </row>
    <row r="28" spans="1:25" s="2" customFormat="1" ht="15" x14ac:dyDescent="0.2">
      <c r="A28" s="181"/>
    </row>
    <row r="29" spans="1:25" s="2" customFormat="1" ht="15" x14ac:dyDescent="0.2">
      <c r="A29" s="181"/>
    </row>
    <row r="30" spans="1:25" s="2" customFormat="1" ht="15" x14ac:dyDescent="0.2">
      <c r="A30" s="181"/>
    </row>
    <row r="31" spans="1:25" s="2" customFormat="1" ht="15" x14ac:dyDescent="0.2">
      <c r="A31" s="181"/>
    </row>
  </sheetData>
  <mergeCells count="10">
    <mergeCell ref="A1:Y1"/>
    <mergeCell ref="T7:W7"/>
    <mergeCell ref="P7:S7"/>
    <mergeCell ref="A3:I3"/>
    <mergeCell ref="B7:K7"/>
    <mergeCell ref="B22:K22"/>
    <mergeCell ref="L22:O22"/>
    <mergeCell ref="T22:W22"/>
    <mergeCell ref="P22:S22"/>
    <mergeCell ref="L7:O7"/>
  </mergeCells>
  <phoneticPr fontId="0" type="noConversion"/>
  <printOptions horizontalCentered="1"/>
  <pageMargins left="0.3" right="0.3" top="0.25" bottom="0.25" header="0.14000000000000001" footer="0"/>
  <pageSetup paperSize="17" scale="46" fitToWidth="2" orientation="landscape" copies="2" r:id="rId1"/>
  <headerFooter alignWithMargins="0">
    <oddHeader>&amp;R&amp;"Georgia,Bold"&amp;12&amp;D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theme="0"/>
  </sheetPr>
  <dimension ref="A1:Z57"/>
  <sheetViews>
    <sheetView tabSelected="1" view="pageBreakPreview" zoomScale="63" zoomScaleNormal="100" zoomScaleSheetLayoutView="75" workbookViewId="0">
      <pane xSplit="1" ySplit="10" topLeftCell="L31" activePane="bottomRight" state="frozen"/>
      <selection pane="topRight" activeCell="B1" sqref="B1"/>
      <selection pane="bottomLeft" activeCell="A9" sqref="A9"/>
      <selection pane="bottomRight" activeCell="X39" sqref="X39"/>
    </sheetView>
  </sheetViews>
  <sheetFormatPr defaultRowHeight="12.75" x14ac:dyDescent="0.2"/>
  <cols>
    <col min="1" max="1" width="49.5703125" style="5" customWidth="1"/>
    <col min="2" max="2" width="18.85546875" style="15" customWidth="1"/>
    <col min="3" max="3" width="15.42578125" style="15" customWidth="1"/>
    <col min="4" max="4" width="17.140625" style="15" customWidth="1"/>
    <col min="5" max="5" width="13.42578125" style="15" hidden="1" customWidth="1"/>
    <col min="6" max="6" width="14" style="15" customWidth="1"/>
    <col min="7" max="7" width="13.85546875" style="15" customWidth="1"/>
    <col min="8" max="8" width="15.28515625" style="15" customWidth="1"/>
    <col min="9" max="9" width="14.7109375" style="15" customWidth="1"/>
    <col min="10" max="10" width="17.140625" style="15" customWidth="1"/>
    <col min="11" max="11" width="18.7109375" style="15" hidden="1" customWidth="1"/>
    <col min="12" max="12" width="18.42578125" style="15" customWidth="1"/>
    <col min="13" max="14" width="17.140625" style="15" customWidth="1"/>
    <col min="15" max="15" width="18.7109375" style="15" customWidth="1"/>
    <col min="16" max="16" width="17.85546875" style="15" customWidth="1"/>
    <col min="17" max="17" width="18.42578125" style="15" customWidth="1"/>
    <col min="18" max="18" width="17" style="15" customWidth="1"/>
    <col min="19" max="19" width="16" style="15" customWidth="1"/>
    <col min="20" max="20" width="16.42578125" style="15" customWidth="1"/>
    <col min="21" max="21" width="17.42578125" style="15" customWidth="1"/>
    <col min="22" max="22" width="17.85546875" style="15" customWidth="1"/>
    <col min="23" max="23" width="31.5703125" style="15" customWidth="1"/>
    <col min="24" max="24" width="15.140625" style="15" bestFit="1" customWidth="1"/>
    <col min="25" max="16384" width="9.140625" style="15"/>
  </cols>
  <sheetData>
    <row r="1" spans="1:23" s="2" customFormat="1" ht="31.5" customHeight="1" x14ac:dyDescent="0.45">
      <c r="A1" s="328">
        <v>41060</v>
      </c>
      <c r="B1" s="323"/>
      <c r="C1" s="323"/>
      <c r="D1" s="332" t="s">
        <v>95</v>
      </c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</row>
    <row r="2" spans="1:23" s="2" customFormat="1" ht="7.5" customHeight="1" x14ac:dyDescent="0.35">
      <c r="A2" s="3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s="2" customFormat="1" ht="6" customHeight="1" x14ac:dyDescent="0.3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8"/>
      <c r="V3" s="7"/>
      <c r="W3" s="7"/>
    </row>
    <row r="4" spans="1:23" s="2" customFormat="1" ht="1.5" customHeight="1" x14ac:dyDescent="0.2">
      <c r="A4" s="9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10"/>
      <c r="U4" s="10"/>
      <c r="V4" s="7"/>
    </row>
    <row r="5" spans="1:23" hidden="1" x14ac:dyDescent="0.2">
      <c r="A5" s="11"/>
      <c r="B5" s="12"/>
      <c r="C5" s="12"/>
      <c r="D5" s="12"/>
      <c r="E5" s="12"/>
      <c r="F5" s="12"/>
      <c r="G5" s="12"/>
      <c r="H5" s="12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4"/>
      <c r="U5" s="14"/>
      <c r="V5" s="12"/>
    </row>
    <row r="6" spans="1:23" s="18" customFormat="1" ht="51.75" customHeight="1" x14ac:dyDescent="0.35">
      <c r="A6" s="158"/>
      <c r="B6" s="324" t="s">
        <v>0</v>
      </c>
      <c r="C6" s="325"/>
      <c r="D6" s="325"/>
      <c r="E6" s="325"/>
      <c r="F6" s="325"/>
      <c r="G6" s="325"/>
      <c r="H6" s="325"/>
      <c r="I6" s="325"/>
      <c r="J6" s="326"/>
      <c r="K6" s="312" t="s">
        <v>46</v>
      </c>
      <c r="L6" s="313"/>
      <c r="M6" s="313"/>
      <c r="N6" s="313"/>
      <c r="O6" s="314"/>
      <c r="P6" s="320" t="s">
        <v>43</v>
      </c>
      <c r="Q6" s="320"/>
      <c r="R6" s="320"/>
      <c r="S6" s="321"/>
      <c r="T6" s="317" t="s">
        <v>1</v>
      </c>
      <c r="U6" s="319"/>
      <c r="V6" s="16" t="s">
        <v>2</v>
      </c>
      <c r="W6" s="17" t="s">
        <v>44</v>
      </c>
    </row>
    <row r="7" spans="1:23" s="155" customFormat="1" ht="26.25" hidden="1" customHeight="1" x14ac:dyDescent="0.2">
      <c r="A7" s="127" t="s">
        <v>76</v>
      </c>
      <c r="B7" s="151">
        <f>29348700+173000</f>
        <v>29521700</v>
      </c>
      <c r="C7" s="152">
        <v>1122000</v>
      </c>
      <c r="D7" s="152">
        <v>1737000</v>
      </c>
      <c r="E7" s="152">
        <v>472428</v>
      </c>
      <c r="F7" s="152">
        <v>370000</v>
      </c>
      <c r="G7" s="152">
        <v>104000</v>
      </c>
      <c r="H7" s="152">
        <v>164000</v>
      </c>
      <c r="I7" s="152"/>
      <c r="J7" s="153">
        <f>1027840+231888</f>
        <v>1259728</v>
      </c>
      <c r="K7" s="151"/>
      <c r="L7" s="152">
        <v>10907236</v>
      </c>
      <c r="M7" s="152">
        <v>3987467</v>
      </c>
      <c r="N7" s="152">
        <v>0</v>
      </c>
      <c r="O7" s="153">
        <v>1300102</v>
      </c>
      <c r="P7" s="152">
        <v>2327857</v>
      </c>
      <c r="Q7" s="152">
        <v>1737117</v>
      </c>
      <c r="R7" s="152">
        <v>2890057</v>
      </c>
      <c r="S7" s="153">
        <v>0</v>
      </c>
      <c r="T7" s="152">
        <f>1578000+530000+1230000</f>
        <v>3338000</v>
      </c>
      <c r="U7" s="153">
        <v>17159000</v>
      </c>
      <c r="V7" s="154">
        <v>8495059</v>
      </c>
      <c r="W7" s="132">
        <f>SUM(B7:V7)</f>
        <v>86892751</v>
      </c>
    </row>
    <row r="8" spans="1:23" s="155" customFormat="1" ht="20.25" hidden="1" x14ac:dyDescent="0.2">
      <c r="A8" s="127" t="s">
        <v>70</v>
      </c>
      <c r="B8" s="151">
        <f>-9513001</f>
        <v>-9513001</v>
      </c>
      <c r="C8" s="152">
        <f>-718835-54000</f>
        <v>-772835</v>
      </c>
      <c r="D8" s="152">
        <v>-823685</v>
      </c>
      <c r="E8" s="152">
        <v>-28327</v>
      </c>
      <c r="F8" s="152">
        <v>-200447</v>
      </c>
      <c r="G8" s="152">
        <v>-24376</v>
      </c>
      <c r="H8" s="152">
        <v>-43367</v>
      </c>
      <c r="I8" s="152"/>
      <c r="J8" s="153">
        <f>-84000-291587</f>
        <v>-375587</v>
      </c>
      <c r="K8" s="151"/>
      <c r="L8" s="152">
        <v>-1347983</v>
      </c>
      <c r="M8" s="152">
        <v>-1857257</v>
      </c>
      <c r="N8" s="152"/>
      <c r="O8" s="153">
        <v>-131808</v>
      </c>
      <c r="P8" s="152">
        <v>-579120</v>
      </c>
      <c r="Q8" s="152">
        <v>-1120</v>
      </c>
      <c r="R8" s="152">
        <v>-1120</v>
      </c>
      <c r="S8" s="153">
        <v>0</v>
      </c>
      <c r="T8" s="152">
        <f>-1235986-307614-1451400</f>
        <v>-2995000</v>
      </c>
      <c r="U8" s="153">
        <v>-16520323</v>
      </c>
      <c r="V8" s="154">
        <v>-6975683</v>
      </c>
      <c r="W8" s="132">
        <f>SUM(B8:V8)</f>
        <v>-42191039</v>
      </c>
    </row>
    <row r="9" spans="1:23" s="155" customFormat="1" ht="33" customHeight="1" x14ac:dyDescent="0.2">
      <c r="A9" s="127" t="s">
        <v>71</v>
      </c>
      <c r="B9" s="151">
        <v>23436892</v>
      </c>
      <c r="C9" s="152">
        <f t="shared" ref="C9:V9" si="0">SUM(C7:C8)</f>
        <v>349165</v>
      </c>
      <c r="D9" s="152">
        <f t="shared" si="0"/>
        <v>913315</v>
      </c>
      <c r="E9" s="152">
        <f t="shared" si="0"/>
        <v>444101</v>
      </c>
      <c r="F9" s="152">
        <f t="shared" si="0"/>
        <v>169553</v>
      </c>
      <c r="G9" s="152">
        <f t="shared" si="0"/>
        <v>79624</v>
      </c>
      <c r="H9" s="152">
        <f t="shared" si="0"/>
        <v>120633</v>
      </c>
      <c r="I9" s="152">
        <f>SUM(I7:I8)</f>
        <v>0</v>
      </c>
      <c r="J9" s="153">
        <f>SUM(J7:J8)</f>
        <v>884141</v>
      </c>
      <c r="K9" s="151">
        <f t="shared" si="0"/>
        <v>0</v>
      </c>
      <c r="L9" s="152">
        <f t="shared" si="0"/>
        <v>9559253</v>
      </c>
      <c r="M9" s="152">
        <f t="shared" si="0"/>
        <v>2130210</v>
      </c>
      <c r="N9" s="152">
        <f t="shared" ref="N9" si="1">SUM(N7:N8)</f>
        <v>0</v>
      </c>
      <c r="O9" s="153">
        <f t="shared" si="0"/>
        <v>1168294</v>
      </c>
      <c r="P9" s="152">
        <f t="shared" si="0"/>
        <v>1748737</v>
      </c>
      <c r="Q9" s="152">
        <f t="shared" si="0"/>
        <v>1735997</v>
      </c>
      <c r="R9" s="152">
        <f t="shared" ref="R9" si="2">SUM(R7:R8)</f>
        <v>2888937</v>
      </c>
      <c r="S9" s="153">
        <f t="shared" si="0"/>
        <v>0</v>
      </c>
      <c r="T9" s="152">
        <f t="shared" si="0"/>
        <v>343000</v>
      </c>
      <c r="U9" s="153">
        <f t="shared" si="0"/>
        <v>638677</v>
      </c>
      <c r="V9" s="154">
        <f t="shared" si="0"/>
        <v>1519376</v>
      </c>
      <c r="W9" s="132">
        <f>SUM(B9:V9)</f>
        <v>48129905</v>
      </c>
    </row>
    <row r="10" spans="1:23" s="32" customFormat="1" ht="66.75" customHeight="1" x14ac:dyDescent="0.4">
      <c r="A10" s="19" t="s">
        <v>51</v>
      </c>
      <c r="B10" s="20" t="s">
        <v>3</v>
      </c>
      <c r="C10" s="21" t="s">
        <v>4</v>
      </c>
      <c r="D10" s="21" t="s">
        <v>5</v>
      </c>
      <c r="E10" s="21" t="s">
        <v>6</v>
      </c>
      <c r="F10" s="21" t="s">
        <v>7</v>
      </c>
      <c r="G10" s="21" t="s">
        <v>8</v>
      </c>
      <c r="H10" s="21" t="s">
        <v>9</v>
      </c>
      <c r="I10" s="21" t="s">
        <v>82</v>
      </c>
      <c r="J10" s="22" t="s">
        <v>10</v>
      </c>
      <c r="K10" s="23" t="s">
        <v>56</v>
      </c>
      <c r="L10" s="24" t="s">
        <v>11</v>
      </c>
      <c r="M10" s="24" t="s">
        <v>12</v>
      </c>
      <c r="N10" s="24" t="s">
        <v>56</v>
      </c>
      <c r="O10" s="25" t="s">
        <v>13</v>
      </c>
      <c r="P10" s="26" t="s">
        <v>14</v>
      </c>
      <c r="Q10" s="26" t="s">
        <v>15</v>
      </c>
      <c r="R10" s="26" t="s">
        <v>16</v>
      </c>
      <c r="S10" s="27" t="s">
        <v>81</v>
      </c>
      <c r="T10" s="28" t="s">
        <v>17</v>
      </c>
      <c r="U10" s="29" t="s">
        <v>18</v>
      </c>
      <c r="V10" s="30" t="s">
        <v>2</v>
      </c>
      <c r="W10" s="31" t="s">
        <v>19</v>
      </c>
    </row>
    <row r="11" spans="1:23" ht="24" customHeight="1" x14ac:dyDescent="0.25">
      <c r="A11" s="33" t="s">
        <v>20</v>
      </c>
      <c r="B11" s="122">
        <f>18558000</f>
        <v>18558000</v>
      </c>
      <c r="C11" s="34"/>
      <c r="D11" s="34"/>
      <c r="E11" s="34"/>
      <c r="F11" s="34"/>
      <c r="G11" s="34"/>
      <c r="H11" s="34"/>
      <c r="I11" s="34"/>
      <c r="J11" s="35"/>
      <c r="K11" s="36"/>
      <c r="L11" s="37"/>
      <c r="M11" s="37"/>
      <c r="N11" s="37"/>
      <c r="O11" s="38"/>
      <c r="P11" s="39"/>
      <c r="Q11" s="39"/>
      <c r="R11" s="39"/>
      <c r="S11" s="40"/>
      <c r="T11" s="1"/>
      <c r="U11" s="51"/>
      <c r="V11" s="41">
        <v>5892800</v>
      </c>
      <c r="W11" s="126">
        <f t="shared" ref="W11:W26" si="3">SUM(B11:V11)</f>
        <v>24450800</v>
      </c>
    </row>
    <row r="12" spans="1:23" ht="24" customHeight="1" x14ac:dyDescent="0.25">
      <c r="A12" s="42" t="s">
        <v>40</v>
      </c>
      <c r="B12" s="123">
        <f>19500000+200000</f>
        <v>19700000</v>
      </c>
      <c r="C12" s="44"/>
      <c r="D12" s="44"/>
      <c r="E12" s="44"/>
      <c r="F12" s="44"/>
      <c r="G12" s="44"/>
      <c r="H12" s="44"/>
      <c r="I12" s="44"/>
      <c r="J12" s="45"/>
      <c r="K12" s="46"/>
      <c r="L12" s="47"/>
      <c r="M12" s="47"/>
      <c r="N12" s="47"/>
      <c r="O12" s="48"/>
      <c r="P12" s="49"/>
      <c r="Q12" s="49"/>
      <c r="R12" s="49"/>
      <c r="S12" s="50"/>
      <c r="T12" s="51"/>
      <c r="U12" s="51"/>
      <c r="V12" s="52"/>
      <c r="W12" s="53">
        <f t="shared" si="3"/>
        <v>19700000</v>
      </c>
    </row>
    <row r="13" spans="1:23" ht="32.25" customHeight="1" x14ac:dyDescent="0.25">
      <c r="A13" s="42" t="s">
        <v>41</v>
      </c>
      <c r="B13" s="123">
        <v>12071000</v>
      </c>
      <c r="C13" s="44"/>
      <c r="D13" s="44"/>
      <c r="E13" s="44"/>
      <c r="F13" s="44"/>
      <c r="G13" s="44"/>
      <c r="H13" s="44"/>
      <c r="I13" s="44"/>
      <c r="J13" s="45">
        <v>650000</v>
      </c>
      <c r="K13" s="46"/>
      <c r="L13" s="47"/>
      <c r="M13" s="47"/>
      <c r="N13" s="47"/>
      <c r="O13" s="48"/>
      <c r="P13" s="49"/>
      <c r="Q13" s="49"/>
      <c r="R13" s="49"/>
      <c r="S13" s="50"/>
      <c r="T13" s="51"/>
      <c r="U13" s="51"/>
      <c r="V13" s="52"/>
      <c r="W13" s="53">
        <f t="shared" si="3"/>
        <v>12721000</v>
      </c>
    </row>
    <row r="14" spans="1:23" ht="24" customHeight="1" x14ac:dyDescent="0.25">
      <c r="A14" s="42" t="s">
        <v>21</v>
      </c>
      <c r="B14" s="123">
        <v>1287686</v>
      </c>
      <c r="C14" s="44"/>
      <c r="D14" s="44"/>
      <c r="E14" s="44"/>
      <c r="F14" s="44">
        <v>8670</v>
      </c>
      <c r="G14" s="44"/>
      <c r="H14" s="44"/>
      <c r="I14" s="44"/>
      <c r="J14" s="45"/>
      <c r="K14" s="46"/>
      <c r="L14" s="47"/>
      <c r="M14" s="47"/>
      <c r="N14" s="47"/>
      <c r="O14" s="48"/>
      <c r="P14" s="49"/>
      <c r="Q14" s="49"/>
      <c r="R14" s="49"/>
      <c r="S14" s="50"/>
      <c r="T14" s="51"/>
      <c r="U14" s="51"/>
      <c r="V14" s="52"/>
      <c r="W14" s="53">
        <f t="shared" si="3"/>
        <v>1296356</v>
      </c>
    </row>
    <row r="15" spans="1:23" ht="24" customHeight="1" x14ac:dyDescent="0.25">
      <c r="A15" s="42" t="s">
        <v>22</v>
      </c>
      <c r="B15" s="123">
        <v>112000</v>
      </c>
      <c r="C15" s="44"/>
      <c r="D15" s="44"/>
      <c r="E15" s="44"/>
      <c r="F15" s="44"/>
      <c r="G15" s="44"/>
      <c r="H15" s="44"/>
      <c r="I15" s="44">
        <v>83516</v>
      </c>
      <c r="J15" s="45"/>
      <c r="K15" s="46"/>
      <c r="L15" s="47"/>
      <c r="M15" s="47"/>
      <c r="N15" s="47"/>
      <c r="O15" s="48"/>
      <c r="P15" s="49"/>
      <c r="Q15" s="49"/>
      <c r="R15" s="49"/>
      <c r="S15" s="50"/>
      <c r="T15" s="51"/>
      <c r="U15" s="51"/>
      <c r="V15" s="52"/>
      <c r="W15" s="53">
        <f t="shared" si="3"/>
        <v>195516</v>
      </c>
    </row>
    <row r="16" spans="1:23" ht="24" customHeight="1" x14ac:dyDescent="0.25">
      <c r="A16" s="42" t="s">
        <v>47</v>
      </c>
      <c r="B16" s="123">
        <v>651350</v>
      </c>
      <c r="C16" s="44">
        <v>5000</v>
      </c>
      <c r="D16" s="44">
        <v>1580000</v>
      </c>
      <c r="E16" s="44"/>
      <c r="F16" s="44"/>
      <c r="G16" s="44"/>
      <c r="H16" s="44"/>
      <c r="I16" s="44"/>
      <c r="J16" s="45"/>
      <c r="K16" s="46"/>
      <c r="L16" s="47">
        <v>8665500</v>
      </c>
      <c r="M16" s="47">
        <f>3286500</f>
        <v>3286500</v>
      </c>
      <c r="N16" s="47">
        <v>2902000</v>
      </c>
      <c r="O16" s="48">
        <f>4176700+149707</f>
        <v>4326407</v>
      </c>
      <c r="P16" s="49"/>
      <c r="Q16" s="49"/>
      <c r="R16" s="49"/>
      <c r="S16" s="50"/>
      <c r="T16" s="51">
        <v>134000</v>
      </c>
      <c r="U16" s="51"/>
      <c r="V16" s="52"/>
      <c r="W16" s="53">
        <f t="shared" si="3"/>
        <v>21550757</v>
      </c>
    </row>
    <row r="17" spans="1:26" ht="24" customHeight="1" x14ac:dyDescent="0.25">
      <c r="A17" s="42" t="s">
        <v>48</v>
      </c>
      <c r="B17" s="123">
        <v>1640386</v>
      </c>
      <c r="C17" s="44"/>
      <c r="D17" s="44"/>
      <c r="E17" s="44"/>
      <c r="F17" s="44"/>
      <c r="G17" s="44"/>
      <c r="H17" s="44"/>
      <c r="I17" s="44"/>
      <c r="J17" s="45"/>
      <c r="K17" s="46"/>
      <c r="L17" s="47"/>
      <c r="M17" s="47"/>
      <c r="N17" s="47"/>
      <c r="O17" s="48"/>
      <c r="P17" s="49"/>
      <c r="Q17" s="49">
        <f>1126420-99003</f>
        <v>1027417</v>
      </c>
      <c r="R17" s="49">
        <v>446350</v>
      </c>
      <c r="S17" s="50">
        <v>613159</v>
      </c>
      <c r="T17" s="51"/>
      <c r="U17" s="51"/>
      <c r="V17" s="52"/>
      <c r="W17" s="53">
        <f>SUM(B17:V17)</f>
        <v>3727312</v>
      </c>
    </row>
    <row r="18" spans="1:26" ht="24" customHeight="1" x14ac:dyDescent="0.25">
      <c r="A18" s="42" t="s">
        <v>23</v>
      </c>
      <c r="B18" s="123">
        <f>2644000+250000</f>
        <v>2894000</v>
      </c>
      <c r="C18" s="44">
        <v>55000</v>
      </c>
      <c r="D18" s="44"/>
      <c r="E18" s="44"/>
      <c r="F18" s="44"/>
      <c r="G18" s="44"/>
      <c r="H18" s="44"/>
      <c r="I18" s="44"/>
      <c r="J18" s="45"/>
      <c r="K18" s="46"/>
      <c r="L18" s="47"/>
      <c r="M18" s="47"/>
      <c r="N18" s="47"/>
      <c r="O18" s="54"/>
      <c r="P18" s="55"/>
      <c r="Q18" s="55"/>
      <c r="R18" s="55"/>
      <c r="S18" s="56"/>
      <c r="T18" s="51"/>
      <c r="U18" s="51"/>
      <c r="V18" s="52"/>
      <c r="W18" s="125">
        <f t="shared" si="3"/>
        <v>2949000</v>
      </c>
    </row>
    <row r="19" spans="1:26" ht="24" customHeight="1" x14ac:dyDescent="0.25">
      <c r="A19" s="42" t="s">
        <v>24</v>
      </c>
      <c r="B19" s="123">
        <v>300000</v>
      </c>
      <c r="C19" s="44">
        <v>5000</v>
      </c>
      <c r="D19" s="44">
        <v>2000</v>
      </c>
      <c r="E19" s="44"/>
      <c r="F19" s="44"/>
      <c r="G19" s="44"/>
      <c r="H19" s="44"/>
      <c r="I19" s="44"/>
      <c r="J19" s="45">
        <v>5000</v>
      </c>
      <c r="K19" s="46"/>
      <c r="L19" s="47">
        <v>15000</v>
      </c>
      <c r="M19" s="47">
        <v>5000</v>
      </c>
      <c r="N19" s="47">
        <v>0</v>
      </c>
      <c r="O19" s="48">
        <v>0</v>
      </c>
      <c r="P19" s="49"/>
      <c r="Q19" s="49"/>
      <c r="R19" s="49">
        <v>10000</v>
      </c>
      <c r="S19" s="50"/>
      <c r="T19" s="51">
        <v>10000</v>
      </c>
      <c r="U19" s="51"/>
      <c r="V19" s="52"/>
      <c r="W19" s="53">
        <f t="shared" si="3"/>
        <v>352000</v>
      </c>
    </row>
    <row r="20" spans="1:26" ht="24" customHeight="1" x14ac:dyDescent="0.25">
      <c r="A20" s="42" t="s">
        <v>25</v>
      </c>
      <c r="B20" s="43">
        <v>105100</v>
      </c>
      <c r="C20" s="57"/>
      <c r="D20" s="57"/>
      <c r="E20" s="57"/>
      <c r="F20" s="57"/>
      <c r="G20" s="57"/>
      <c r="H20" s="57">
        <v>82000</v>
      </c>
      <c r="I20" s="57"/>
      <c r="J20" s="58"/>
      <c r="K20" s="59"/>
      <c r="L20" s="60"/>
      <c r="M20" s="60"/>
      <c r="N20" s="60"/>
      <c r="O20" s="61"/>
      <c r="P20" s="62">
        <v>1500</v>
      </c>
      <c r="Q20" s="62"/>
      <c r="R20" s="62"/>
      <c r="S20" s="63"/>
      <c r="T20" s="64"/>
      <c r="U20" s="51"/>
      <c r="V20" s="65"/>
      <c r="W20" s="53">
        <f t="shared" si="3"/>
        <v>188600</v>
      </c>
      <c r="X20" s="66"/>
      <c r="Y20" s="66"/>
      <c r="Z20" s="66"/>
    </row>
    <row r="21" spans="1:26" ht="24" customHeight="1" x14ac:dyDescent="0.25">
      <c r="A21" s="42" t="s">
        <v>26</v>
      </c>
      <c r="B21" s="43">
        <v>200000</v>
      </c>
      <c r="C21" s="57"/>
      <c r="D21" s="57"/>
      <c r="E21" s="57"/>
      <c r="F21" s="57"/>
      <c r="G21" s="57"/>
      <c r="H21" s="57"/>
      <c r="I21" s="57"/>
      <c r="J21" s="58">
        <v>75000</v>
      </c>
      <c r="K21" s="59"/>
      <c r="L21" s="60"/>
      <c r="M21" s="60"/>
      <c r="N21" s="60"/>
      <c r="O21" s="61">
        <f>658445-87054</f>
        <v>571391</v>
      </c>
      <c r="P21" s="62"/>
      <c r="Q21" s="62"/>
      <c r="R21" s="62"/>
      <c r="S21" s="63"/>
      <c r="T21" s="64"/>
      <c r="U21" s="51">
        <f>3574366+3016624+122000+78000+160150+7000+68000-375000-30000-500000+14000+6000-8000+300000+10000</f>
        <v>6443140</v>
      </c>
      <c r="V21" s="65"/>
      <c r="W21" s="53">
        <f t="shared" si="3"/>
        <v>7289531</v>
      </c>
      <c r="X21" s="66"/>
      <c r="Y21" s="66"/>
      <c r="Z21" s="66"/>
    </row>
    <row r="22" spans="1:26" ht="24" customHeight="1" x14ac:dyDescent="0.25">
      <c r="A22" s="67" t="s">
        <v>27</v>
      </c>
      <c r="B22" s="68">
        <v>0</v>
      </c>
      <c r="C22" s="69"/>
      <c r="D22" s="69"/>
      <c r="E22" s="69"/>
      <c r="F22" s="69"/>
      <c r="G22" s="69"/>
      <c r="H22" s="69"/>
      <c r="I22" s="69"/>
      <c r="J22" s="70"/>
      <c r="K22" s="71"/>
      <c r="L22" s="72"/>
      <c r="M22" s="72"/>
      <c r="N22" s="72"/>
      <c r="O22" s="73"/>
      <c r="P22" s="74">
        <v>838000</v>
      </c>
      <c r="Q22" s="74"/>
      <c r="R22" s="74"/>
      <c r="S22" s="75"/>
      <c r="T22" s="76"/>
      <c r="U22" s="77"/>
      <c r="V22" s="78"/>
      <c r="W22" s="79">
        <f t="shared" si="3"/>
        <v>838000</v>
      </c>
      <c r="X22" s="66"/>
      <c r="Y22" s="66"/>
      <c r="Z22" s="66"/>
    </row>
    <row r="23" spans="1:26" ht="24" customHeight="1" x14ac:dyDescent="0.25">
      <c r="A23" s="67" t="s">
        <v>28</v>
      </c>
      <c r="B23" s="68">
        <v>0</v>
      </c>
      <c r="C23" s="69"/>
      <c r="D23" s="69"/>
      <c r="E23" s="69"/>
      <c r="F23" s="69"/>
      <c r="G23" s="69"/>
      <c r="H23" s="69"/>
      <c r="I23" s="69"/>
      <c r="J23" s="70"/>
      <c r="K23" s="71"/>
      <c r="L23" s="72"/>
      <c r="M23" s="72"/>
      <c r="N23" s="72"/>
      <c r="O23" s="73"/>
      <c r="P23" s="74">
        <f>5679500-216319</f>
        <v>5463181</v>
      </c>
      <c r="Q23" s="74"/>
      <c r="R23" s="74"/>
      <c r="S23" s="75"/>
      <c r="T23" s="76"/>
      <c r="U23" s="77"/>
      <c r="V23" s="78"/>
      <c r="W23" s="79">
        <f t="shared" si="3"/>
        <v>5463181</v>
      </c>
      <c r="X23" s="66"/>
      <c r="Y23" s="66"/>
      <c r="Z23" s="66"/>
    </row>
    <row r="24" spans="1:26" s="144" customFormat="1" ht="26.25" customHeight="1" x14ac:dyDescent="0.2">
      <c r="A24" s="150" t="s">
        <v>19</v>
      </c>
      <c r="B24" s="156">
        <f>SUM(B11:B23)</f>
        <v>57519522</v>
      </c>
      <c r="C24" s="146">
        <f t="shared" ref="C24:V24" si="4">SUM(C11:C23)</f>
        <v>65000</v>
      </c>
      <c r="D24" s="146">
        <f t="shared" si="4"/>
        <v>1582000</v>
      </c>
      <c r="E24" s="146">
        <f t="shared" si="4"/>
        <v>0</v>
      </c>
      <c r="F24" s="146">
        <f t="shared" si="4"/>
        <v>8670</v>
      </c>
      <c r="G24" s="146">
        <f t="shared" si="4"/>
        <v>0</v>
      </c>
      <c r="H24" s="146">
        <f t="shared" si="4"/>
        <v>82000</v>
      </c>
      <c r="I24" s="146">
        <f t="shared" si="4"/>
        <v>83516</v>
      </c>
      <c r="J24" s="147">
        <f t="shared" si="4"/>
        <v>730000</v>
      </c>
      <c r="K24" s="145">
        <f t="shared" si="4"/>
        <v>0</v>
      </c>
      <c r="L24" s="146">
        <f t="shared" si="4"/>
        <v>8680500</v>
      </c>
      <c r="M24" s="146">
        <f t="shared" si="4"/>
        <v>3291500</v>
      </c>
      <c r="N24" s="146">
        <f t="shared" ref="N24" si="5">SUM(N11:N23)</f>
        <v>2902000</v>
      </c>
      <c r="O24" s="147">
        <f t="shared" si="4"/>
        <v>4897798</v>
      </c>
      <c r="P24" s="146">
        <f t="shared" si="4"/>
        <v>6302681</v>
      </c>
      <c r="Q24" s="146">
        <f t="shared" si="4"/>
        <v>1027417</v>
      </c>
      <c r="R24" s="146">
        <f t="shared" ref="R24" si="6">SUM(R11:R23)</f>
        <v>456350</v>
      </c>
      <c r="S24" s="147">
        <f t="shared" si="4"/>
        <v>613159</v>
      </c>
      <c r="T24" s="146">
        <f t="shared" si="4"/>
        <v>144000</v>
      </c>
      <c r="U24" s="147">
        <f t="shared" si="4"/>
        <v>6443140</v>
      </c>
      <c r="V24" s="148">
        <f t="shared" si="4"/>
        <v>5892800</v>
      </c>
      <c r="W24" s="149">
        <f>SUM(W11:W23)</f>
        <v>100722053</v>
      </c>
    </row>
    <row r="25" spans="1:26" s="13" customFormat="1" ht="24" customHeight="1" x14ac:dyDescent="0.25">
      <c r="A25" s="42" t="s">
        <v>53</v>
      </c>
      <c r="B25" s="123">
        <f>2141624-8000+300000+10000</f>
        <v>2443624</v>
      </c>
      <c r="C25" s="44">
        <v>348493</v>
      </c>
      <c r="D25" s="44">
        <v>485054</v>
      </c>
      <c r="E25" s="44"/>
      <c r="F25" s="44"/>
      <c r="G25" s="44">
        <v>23500</v>
      </c>
      <c r="H25" s="44"/>
      <c r="I25" s="44"/>
      <c r="J25" s="45">
        <v>309024</v>
      </c>
      <c r="K25" s="46"/>
      <c r="L25" s="47">
        <v>1127279</v>
      </c>
      <c r="M25" s="47">
        <v>62393</v>
      </c>
      <c r="N25" s="47"/>
      <c r="O25" s="48"/>
      <c r="P25" s="49">
        <v>445846</v>
      </c>
      <c r="Q25" s="49"/>
      <c r="R25" s="49"/>
      <c r="S25" s="50"/>
      <c r="T25" s="51"/>
      <c r="U25" s="300"/>
      <c r="V25" s="52">
        <v>609775</v>
      </c>
      <c r="W25" s="53">
        <f t="shared" ref="W25" si="7">SUM(B25:V25)</f>
        <v>5854988</v>
      </c>
    </row>
    <row r="26" spans="1:26" s="13" customFormat="1" ht="24" customHeight="1" x14ac:dyDescent="0.25">
      <c r="A26" s="287" t="s">
        <v>94</v>
      </c>
      <c r="B26" s="288"/>
      <c r="C26" s="289"/>
      <c r="D26" s="289"/>
      <c r="E26" s="289"/>
      <c r="F26" s="289"/>
      <c r="G26" s="289"/>
      <c r="H26" s="289"/>
      <c r="I26" s="289"/>
      <c r="J26" s="290"/>
      <c r="K26" s="291"/>
      <c r="L26" s="292"/>
      <c r="M26" s="292"/>
      <c r="N26" s="292"/>
      <c r="O26" s="293"/>
      <c r="P26" s="294"/>
      <c r="Q26" s="294"/>
      <c r="R26" s="294"/>
      <c r="S26" s="295"/>
      <c r="T26" s="296"/>
      <c r="U26" s="297">
        <f>1650000+1500000</f>
        <v>3150000</v>
      </c>
      <c r="V26" s="298"/>
      <c r="W26" s="299">
        <f t="shared" si="3"/>
        <v>3150000</v>
      </c>
    </row>
    <row r="27" spans="1:26" s="144" customFormat="1" ht="24.75" customHeight="1" x14ac:dyDescent="0.2">
      <c r="A27" s="150" t="s">
        <v>55</v>
      </c>
      <c r="B27" s="157">
        <f>SUM(B24:B26)</f>
        <v>59963146</v>
      </c>
      <c r="C27" s="146">
        <f t="shared" ref="C27:W27" si="8">SUM(C24:C26)</f>
        <v>413493</v>
      </c>
      <c r="D27" s="146">
        <f t="shared" si="8"/>
        <v>2067054</v>
      </c>
      <c r="E27" s="146">
        <f t="shared" si="8"/>
        <v>0</v>
      </c>
      <c r="F27" s="146">
        <f t="shared" si="8"/>
        <v>8670</v>
      </c>
      <c r="G27" s="146">
        <f t="shared" si="8"/>
        <v>23500</v>
      </c>
      <c r="H27" s="146">
        <f t="shared" si="8"/>
        <v>82000</v>
      </c>
      <c r="I27" s="146">
        <f t="shared" si="8"/>
        <v>83516</v>
      </c>
      <c r="J27" s="147">
        <f t="shared" si="8"/>
        <v>1039024</v>
      </c>
      <c r="K27" s="145">
        <f t="shared" si="8"/>
        <v>0</v>
      </c>
      <c r="L27" s="146">
        <f t="shared" si="8"/>
        <v>9807779</v>
      </c>
      <c r="M27" s="146">
        <f t="shared" si="8"/>
        <v>3353893</v>
      </c>
      <c r="N27" s="146">
        <f t="shared" ref="N27" si="9">SUM(N24:N26)</f>
        <v>2902000</v>
      </c>
      <c r="O27" s="147">
        <f t="shared" si="8"/>
        <v>4897798</v>
      </c>
      <c r="P27" s="146">
        <f t="shared" si="8"/>
        <v>6748527</v>
      </c>
      <c r="Q27" s="146">
        <f t="shared" si="8"/>
        <v>1027417</v>
      </c>
      <c r="R27" s="146">
        <f t="shared" ref="R27" si="10">SUM(R24:R26)</f>
        <v>456350</v>
      </c>
      <c r="S27" s="147">
        <f t="shared" si="8"/>
        <v>613159</v>
      </c>
      <c r="T27" s="146">
        <f t="shared" si="8"/>
        <v>144000</v>
      </c>
      <c r="U27" s="147">
        <f t="shared" si="8"/>
        <v>9593140</v>
      </c>
      <c r="V27" s="148">
        <f t="shared" si="8"/>
        <v>6502575</v>
      </c>
      <c r="W27" s="149">
        <f t="shared" si="8"/>
        <v>109727041</v>
      </c>
    </row>
    <row r="28" spans="1:26" s="18" customFormat="1" ht="30" x14ac:dyDescent="0.2">
      <c r="A28" s="91"/>
      <c r="B28" s="301" t="s">
        <v>0</v>
      </c>
      <c r="C28" s="302"/>
      <c r="D28" s="302"/>
      <c r="E28" s="302"/>
      <c r="F28" s="302"/>
      <c r="G28" s="302"/>
      <c r="H28" s="302"/>
      <c r="I28" s="302"/>
      <c r="J28" s="303"/>
      <c r="K28" s="304" t="str">
        <f>+K6</f>
        <v>Enterprise Funds</v>
      </c>
      <c r="L28" s="305"/>
      <c r="M28" s="305"/>
      <c r="N28" s="305"/>
      <c r="O28" s="306"/>
      <c r="P28" s="327" t="s">
        <v>43</v>
      </c>
      <c r="Q28" s="310"/>
      <c r="R28" s="310"/>
      <c r="S28" s="311"/>
      <c r="T28" s="307" t="s">
        <v>1</v>
      </c>
      <c r="U28" s="309"/>
      <c r="V28" s="92" t="s">
        <v>2</v>
      </c>
    </row>
    <row r="29" spans="1:26" s="66" customFormat="1" ht="44.25" customHeight="1" x14ac:dyDescent="0.2">
      <c r="A29" s="93"/>
      <c r="B29" s="94"/>
      <c r="C29" s="94"/>
      <c r="D29" s="94"/>
      <c r="E29" s="94"/>
      <c r="F29" s="94"/>
      <c r="G29" s="94"/>
      <c r="H29" s="94"/>
      <c r="I29" s="94"/>
      <c r="J29" s="94"/>
      <c r="K29" s="95"/>
      <c r="L29" s="95"/>
      <c r="M29" s="95"/>
      <c r="N29" s="95"/>
      <c r="O29" s="95"/>
      <c r="P29" s="96"/>
      <c r="Q29" s="96"/>
      <c r="R29" s="96"/>
      <c r="S29" s="96"/>
      <c r="T29" s="97"/>
      <c r="U29" s="97"/>
      <c r="V29" s="98"/>
    </row>
    <row r="30" spans="1:26" s="18" customFormat="1" ht="30" x14ac:dyDescent="0.2">
      <c r="A30" s="91"/>
      <c r="B30" s="329" t="s">
        <v>0</v>
      </c>
      <c r="C30" s="330"/>
      <c r="D30" s="330"/>
      <c r="E30" s="330"/>
      <c r="F30" s="330"/>
      <c r="G30" s="330"/>
      <c r="H30" s="330"/>
      <c r="I30" s="330"/>
      <c r="J30" s="331"/>
      <c r="K30" s="312" t="s">
        <v>46</v>
      </c>
      <c r="L30" s="313"/>
      <c r="M30" s="313"/>
      <c r="N30" s="313"/>
      <c r="O30" s="314"/>
      <c r="P30" s="320" t="s">
        <v>43</v>
      </c>
      <c r="Q30" s="320"/>
      <c r="R30" s="320"/>
      <c r="S30" s="321"/>
      <c r="T30" s="317" t="s">
        <v>1</v>
      </c>
      <c r="U30" s="319"/>
      <c r="V30" s="16" t="s">
        <v>2</v>
      </c>
      <c r="W30" s="99"/>
    </row>
    <row r="31" spans="1:26" s="32" customFormat="1" ht="64.5" customHeight="1" x14ac:dyDescent="0.4">
      <c r="A31" s="19" t="s">
        <v>52</v>
      </c>
      <c r="B31" s="20" t="s">
        <v>3</v>
      </c>
      <c r="C31" s="21" t="s">
        <v>4</v>
      </c>
      <c r="D31" s="21" t="s">
        <v>29</v>
      </c>
      <c r="E31" s="21" t="s">
        <v>6</v>
      </c>
      <c r="F31" s="21" t="s">
        <v>7</v>
      </c>
      <c r="G31" s="21" t="s">
        <v>8</v>
      </c>
      <c r="H31" s="21" t="s">
        <v>9</v>
      </c>
      <c r="I31" s="21" t="s">
        <v>82</v>
      </c>
      <c r="J31" s="22" t="s">
        <v>10</v>
      </c>
      <c r="K31" s="23" t="s">
        <v>56</v>
      </c>
      <c r="L31" s="24" t="s">
        <v>11</v>
      </c>
      <c r="M31" s="24" t="s">
        <v>12</v>
      </c>
      <c r="N31" s="24" t="s">
        <v>56</v>
      </c>
      <c r="O31" s="25" t="s">
        <v>13</v>
      </c>
      <c r="P31" s="26" t="s">
        <v>14</v>
      </c>
      <c r="Q31" s="26" t="s">
        <v>15</v>
      </c>
      <c r="R31" s="26" t="s">
        <v>16</v>
      </c>
      <c r="S31" s="27" t="s">
        <v>81</v>
      </c>
      <c r="T31" s="28" t="s">
        <v>17</v>
      </c>
      <c r="U31" s="28" t="s">
        <v>18</v>
      </c>
      <c r="V31" s="30" t="s">
        <v>2</v>
      </c>
      <c r="W31" s="31" t="s">
        <v>30</v>
      </c>
    </row>
    <row r="32" spans="1:26" ht="24" customHeight="1" x14ac:dyDescent="0.25">
      <c r="A32" s="33" t="s">
        <v>31</v>
      </c>
      <c r="B32" s="122">
        <f>7964975+645+1705+10000+10000+5000-25000</f>
        <v>7967325</v>
      </c>
      <c r="C32" s="34"/>
      <c r="D32" s="34"/>
      <c r="E32" s="34"/>
      <c r="F32" s="34"/>
      <c r="G32" s="34"/>
      <c r="H32" s="34"/>
      <c r="I32" s="34">
        <f>59130+960</f>
        <v>60090</v>
      </c>
      <c r="J32" s="35">
        <f>447701+21173+335000+75000</f>
        <v>878874</v>
      </c>
      <c r="K32" s="36"/>
      <c r="L32" s="37"/>
      <c r="M32" s="37"/>
      <c r="N32" s="37"/>
      <c r="O32" s="38"/>
      <c r="P32" s="39">
        <f>6764846-216319</f>
        <v>6548527</v>
      </c>
      <c r="Q32" s="39">
        <v>1023722</v>
      </c>
      <c r="R32" s="39">
        <v>447254</v>
      </c>
      <c r="S32" s="40"/>
      <c r="T32" s="1"/>
      <c r="U32" s="1"/>
      <c r="V32" s="41"/>
      <c r="W32" s="126">
        <f t="shared" ref="W32:W43" si="11">SUM(B32:V32)</f>
        <v>16925792</v>
      </c>
      <c r="X32" s="15">
        <f t="shared" ref="X32:X40" si="12">SUM(W32-U32)</f>
        <v>16925792</v>
      </c>
    </row>
    <row r="33" spans="1:24" ht="24" customHeight="1" x14ac:dyDescent="0.25">
      <c r="A33" s="42" t="s">
        <v>32</v>
      </c>
      <c r="B33" s="43">
        <f>2889156-30000+200000-19417</f>
        <v>3039739</v>
      </c>
      <c r="C33" s="44"/>
      <c r="D33" s="44"/>
      <c r="E33" s="44"/>
      <c r="F33" s="44"/>
      <c r="G33" s="44"/>
      <c r="H33" s="44"/>
      <c r="I33" s="44"/>
      <c r="J33" s="45"/>
      <c r="K33" s="46"/>
      <c r="L33" s="47"/>
      <c r="M33" s="47"/>
      <c r="N33" s="47"/>
      <c r="O33" s="48"/>
      <c r="P33" s="49"/>
      <c r="Q33" s="49"/>
      <c r="R33" s="49"/>
      <c r="S33" s="50"/>
      <c r="T33" s="51"/>
      <c r="U33" s="51">
        <v>30000</v>
      </c>
      <c r="V33" s="52"/>
      <c r="W33" s="125">
        <f t="shared" si="11"/>
        <v>3069739</v>
      </c>
      <c r="X33" s="15">
        <f t="shared" si="12"/>
        <v>3039739</v>
      </c>
    </row>
    <row r="34" spans="1:24" ht="24" customHeight="1" x14ac:dyDescent="0.25">
      <c r="A34" s="42" t="s">
        <v>33</v>
      </c>
      <c r="B34" s="43">
        <v>398594</v>
      </c>
      <c r="C34" s="44"/>
      <c r="D34" s="44"/>
      <c r="E34" s="44"/>
      <c r="F34" s="44"/>
      <c r="G34" s="44"/>
      <c r="H34" s="44"/>
      <c r="I34" s="44"/>
      <c r="J34" s="45"/>
      <c r="K34" s="46"/>
      <c r="L34" s="47">
        <f>9782779+25000</f>
        <v>9807779</v>
      </c>
      <c r="M34" s="47">
        <f>3098393+255500</f>
        <v>3353893</v>
      </c>
      <c r="N34" s="47">
        <f>2170301+470000</f>
        <v>2640301</v>
      </c>
      <c r="O34" s="48"/>
      <c r="P34" s="49"/>
      <c r="Q34" s="49"/>
      <c r="R34" s="49"/>
      <c r="S34" s="50">
        <f>603296+6000</f>
        <v>609296</v>
      </c>
      <c r="T34" s="51"/>
      <c r="U34" s="51"/>
      <c r="V34" s="52"/>
      <c r="W34" s="125">
        <f t="shared" si="11"/>
        <v>16809863</v>
      </c>
      <c r="X34" s="15">
        <f t="shared" si="12"/>
        <v>16809863</v>
      </c>
    </row>
    <row r="35" spans="1:24" ht="24" customHeight="1" x14ac:dyDescent="0.25">
      <c r="A35" s="42" t="s">
        <v>34</v>
      </c>
      <c r="B35" s="43">
        <v>2213804</v>
      </c>
      <c r="C35" s="44"/>
      <c r="D35" s="44"/>
      <c r="E35" s="44"/>
      <c r="F35" s="44"/>
      <c r="G35" s="44"/>
      <c r="H35" s="44"/>
      <c r="I35" s="44"/>
      <c r="J35" s="45"/>
      <c r="K35" s="46"/>
      <c r="L35" s="47"/>
      <c r="M35" s="47"/>
      <c r="N35" s="47"/>
      <c r="O35" s="48"/>
      <c r="P35" s="49"/>
      <c r="Q35" s="49"/>
      <c r="R35" s="49"/>
      <c r="S35" s="50"/>
      <c r="T35" s="51"/>
      <c r="U35" s="51"/>
      <c r="V35" s="52">
        <f>6366575</f>
        <v>6366575</v>
      </c>
      <c r="W35" s="53">
        <f t="shared" si="11"/>
        <v>8580379</v>
      </c>
      <c r="X35" s="15">
        <f t="shared" si="12"/>
        <v>8580379</v>
      </c>
    </row>
    <row r="36" spans="1:24" ht="24" customHeight="1" x14ac:dyDescent="0.25">
      <c r="A36" s="42" t="s">
        <v>35</v>
      </c>
      <c r="B36" s="123">
        <f>6842537-84724-70654+51000-15000</f>
        <v>6723159</v>
      </c>
      <c r="C36" s="44"/>
      <c r="D36" s="44"/>
      <c r="E36" s="44"/>
      <c r="F36" s="44"/>
      <c r="G36" s="44"/>
      <c r="H36" s="44"/>
      <c r="I36" s="44"/>
      <c r="J36" s="45"/>
      <c r="K36" s="46"/>
      <c r="L36" s="47"/>
      <c r="M36" s="47"/>
      <c r="N36" s="47"/>
      <c r="O36" s="48"/>
      <c r="P36" s="49"/>
      <c r="Q36" s="49"/>
      <c r="R36" s="49"/>
      <c r="S36" s="50"/>
      <c r="T36" s="51"/>
      <c r="U36" s="51">
        <f>70654+84724+51000+136000+450000+1200000</f>
        <v>1992378</v>
      </c>
      <c r="V36" s="52"/>
      <c r="W36" s="125">
        <f t="shared" si="11"/>
        <v>8715537</v>
      </c>
      <c r="X36" s="15">
        <f t="shared" si="12"/>
        <v>6723159</v>
      </c>
    </row>
    <row r="37" spans="1:24" ht="24" customHeight="1" x14ac:dyDescent="0.25">
      <c r="A37" s="42" t="s">
        <v>36</v>
      </c>
      <c r="B37" s="123">
        <f>16536951-837000-10000</f>
        <v>15689951</v>
      </c>
      <c r="C37" s="44">
        <f>317493+18000</f>
        <v>335493</v>
      </c>
      <c r="D37" s="44">
        <f>2067054</f>
        <v>2067054</v>
      </c>
      <c r="E37" s="44"/>
      <c r="F37" s="44"/>
      <c r="G37" s="100"/>
      <c r="H37" s="100"/>
      <c r="I37" s="100"/>
      <c r="J37" s="45"/>
      <c r="K37" s="101"/>
      <c r="L37" s="102"/>
      <c r="M37" s="102"/>
      <c r="N37" s="102"/>
      <c r="O37" s="103"/>
      <c r="P37" s="104"/>
      <c r="Q37" s="104"/>
      <c r="R37" s="104"/>
      <c r="S37" s="105"/>
      <c r="T37" s="51"/>
      <c r="U37" s="51">
        <f>837000+78000-5000-375000</f>
        <v>535000</v>
      </c>
      <c r="V37" s="52"/>
      <c r="W37" s="53">
        <f t="shared" si="11"/>
        <v>18627498</v>
      </c>
      <c r="X37" s="15">
        <f t="shared" si="12"/>
        <v>18092498</v>
      </c>
    </row>
    <row r="38" spans="1:24" ht="24" customHeight="1" x14ac:dyDescent="0.25">
      <c r="A38" s="42" t="s">
        <v>37</v>
      </c>
      <c r="B38" s="43">
        <f>10560685-175000-459500+11478-87054+155000</f>
        <v>10005609</v>
      </c>
      <c r="C38" s="100"/>
      <c r="D38" s="44"/>
      <c r="E38" s="44"/>
      <c r="F38" s="44"/>
      <c r="G38" s="44">
        <v>23500</v>
      </c>
      <c r="H38" s="44">
        <f>63192+10000</f>
        <v>73192</v>
      </c>
      <c r="I38" s="44"/>
      <c r="J38" s="45"/>
      <c r="K38" s="46"/>
      <c r="L38" s="47"/>
      <c r="M38" s="47"/>
      <c r="N38" s="47"/>
      <c r="O38" s="48">
        <f>4799916+29936</f>
        <v>4829852</v>
      </c>
      <c r="P38" s="49"/>
      <c r="Q38" s="49"/>
      <c r="R38" s="49"/>
      <c r="S38" s="50"/>
      <c r="T38" s="51">
        <v>125000</v>
      </c>
      <c r="U38" s="51">
        <f>175000+459500+160150-30000+68000-30000-8000+1500000</f>
        <v>2294650</v>
      </c>
      <c r="V38" s="52"/>
      <c r="W38" s="125">
        <f t="shared" si="11"/>
        <v>17351803</v>
      </c>
      <c r="X38" s="15">
        <f t="shared" si="12"/>
        <v>15057153</v>
      </c>
    </row>
    <row r="39" spans="1:24" s="165" customFormat="1" ht="24" customHeight="1" x14ac:dyDescent="0.25">
      <c r="A39" s="162" t="s">
        <v>38</v>
      </c>
      <c r="B39" s="163">
        <f>8886289-1573000-2000</f>
        <v>7311289</v>
      </c>
      <c r="C39" s="57"/>
      <c r="D39" s="57"/>
      <c r="E39" s="57"/>
      <c r="F39" s="57"/>
      <c r="G39" s="57"/>
      <c r="H39" s="57"/>
      <c r="I39" s="57"/>
      <c r="J39" s="58"/>
      <c r="K39" s="59"/>
      <c r="L39" s="60"/>
      <c r="M39" s="60"/>
      <c r="N39" s="60"/>
      <c r="O39" s="61"/>
      <c r="P39" s="62"/>
      <c r="Q39" s="62"/>
      <c r="R39" s="62"/>
      <c r="S39" s="63"/>
      <c r="T39" s="64">
        <v>3000</v>
      </c>
      <c r="U39" s="64">
        <f>1573000+7000-500000+300000+10000</f>
        <v>1390000</v>
      </c>
      <c r="V39" s="65"/>
      <c r="W39" s="164">
        <f t="shared" si="11"/>
        <v>8704289</v>
      </c>
      <c r="X39" s="165">
        <f t="shared" si="12"/>
        <v>7314289</v>
      </c>
    </row>
    <row r="40" spans="1:24" s="165" customFormat="1" ht="24" customHeight="1" x14ac:dyDescent="0.25">
      <c r="A40" s="162" t="s">
        <v>45</v>
      </c>
      <c r="B40" s="163">
        <f>3934152-22400-3328712+12646</f>
        <v>595686</v>
      </c>
      <c r="C40" s="57"/>
      <c r="D40" s="57"/>
      <c r="E40" s="57"/>
      <c r="F40" s="57"/>
      <c r="G40" s="57"/>
      <c r="H40" s="57"/>
      <c r="I40" s="57"/>
      <c r="J40" s="58"/>
      <c r="K40" s="59"/>
      <c r="L40" s="60"/>
      <c r="M40" s="60"/>
      <c r="N40" s="60"/>
      <c r="O40" s="61"/>
      <c r="P40" s="62"/>
      <c r="Q40" s="62"/>
      <c r="R40" s="62"/>
      <c r="S40" s="63"/>
      <c r="T40" s="64"/>
      <c r="U40" s="64">
        <f>3328712+22400</f>
        <v>3351112</v>
      </c>
      <c r="V40" s="65"/>
      <c r="W40" s="164">
        <f t="shared" si="11"/>
        <v>3946798</v>
      </c>
      <c r="X40" s="165">
        <f t="shared" si="12"/>
        <v>595686</v>
      </c>
    </row>
    <row r="41" spans="1:24" s="107" customFormat="1" ht="24" customHeight="1" x14ac:dyDescent="0.25">
      <c r="A41" s="106" t="s">
        <v>42</v>
      </c>
      <c r="B41" s="163">
        <f>3006624+3574366-5000+45000-30000+7000+68000-45000-375000-30000-500000-8000+300000+10000</f>
        <v>6017990</v>
      </c>
      <c r="C41" s="57">
        <v>78000</v>
      </c>
      <c r="D41" s="57"/>
      <c r="E41" s="57"/>
      <c r="F41" s="57"/>
      <c r="G41" s="57"/>
      <c r="H41" s="57"/>
      <c r="I41" s="57"/>
      <c r="J41" s="58">
        <v>160150</v>
      </c>
      <c r="K41" s="46"/>
      <c r="L41" s="47"/>
      <c r="M41" s="47"/>
      <c r="N41" s="47"/>
      <c r="O41" s="48"/>
      <c r="P41" s="49"/>
      <c r="Q41" s="49"/>
      <c r="R41" s="49"/>
      <c r="S41" s="50"/>
      <c r="T41" s="51"/>
      <c r="U41" s="64"/>
      <c r="V41" s="52">
        <v>136000</v>
      </c>
      <c r="W41" s="125">
        <f t="shared" si="11"/>
        <v>6392140</v>
      </c>
    </row>
    <row r="42" spans="1:24" s="107" customFormat="1" ht="24" customHeight="1" x14ac:dyDescent="0.25">
      <c r="A42" s="106" t="s">
        <v>43</v>
      </c>
      <c r="B42" s="43">
        <v>0</v>
      </c>
      <c r="C42" s="44"/>
      <c r="D42" s="44"/>
      <c r="E42" s="44"/>
      <c r="F42" s="44"/>
      <c r="G42" s="44"/>
      <c r="H42" s="44"/>
      <c r="I42" s="44"/>
      <c r="J42" s="45"/>
      <c r="K42" s="46"/>
      <c r="L42" s="47"/>
      <c r="M42" s="47"/>
      <c r="N42" s="47"/>
      <c r="O42" s="48"/>
      <c r="P42" s="49"/>
      <c r="Q42" s="49"/>
      <c r="R42" s="49"/>
      <c r="S42" s="50"/>
      <c r="T42" s="51"/>
      <c r="U42" s="51"/>
      <c r="V42" s="52"/>
      <c r="W42" s="53">
        <f t="shared" si="11"/>
        <v>0</v>
      </c>
    </row>
    <row r="43" spans="1:24" s="110" customFormat="1" ht="24" customHeight="1" x14ac:dyDescent="0.25">
      <c r="A43" s="108" t="s">
        <v>49</v>
      </c>
      <c r="B43" s="109">
        <v>0</v>
      </c>
      <c r="C43" s="81"/>
      <c r="D43" s="81"/>
      <c r="E43" s="81"/>
      <c r="F43" s="81"/>
      <c r="G43" s="81"/>
      <c r="H43" s="81"/>
      <c r="I43" s="81"/>
      <c r="J43" s="82"/>
      <c r="K43" s="83"/>
      <c r="L43" s="84"/>
      <c r="M43" s="84"/>
      <c r="N43" s="84"/>
      <c r="O43" s="85"/>
      <c r="P43" s="86">
        <v>200000</v>
      </c>
      <c r="Q43" s="86"/>
      <c r="R43" s="86"/>
      <c r="S43" s="87"/>
      <c r="T43" s="88"/>
      <c r="U43" s="88"/>
      <c r="V43" s="89"/>
      <c r="W43" s="90">
        <f t="shared" si="11"/>
        <v>200000</v>
      </c>
    </row>
    <row r="44" spans="1:24" s="144" customFormat="1" ht="30.75" customHeight="1" x14ac:dyDescent="0.2">
      <c r="A44" s="150" t="s">
        <v>50</v>
      </c>
      <c r="B44" s="145">
        <f>SUM(B32:B43)</f>
        <v>59963146</v>
      </c>
      <c r="C44" s="146">
        <f t="shared" ref="C44:V44" si="13">SUM(C32:C43)</f>
        <v>413493</v>
      </c>
      <c r="D44" s="146">
        <f t="shared" si="13"/>
        <v>2067054</v>
      </c>
      <c r="E44" s="146">
        <f t="shared" si="13"/>
        <v>0</v>
      </c>
      <c r="F44" s="146">
        <f t="shared" si="13"/>
        <v>0</v>
      </c>
      <c r="G44" s="146">
        <f t="shared" si="13"/>
        <v>23500</v>
      </c>
      <c r="H44" s="146">
        <f t="shared" si="13"/>
        <v>73192</v>
      </c>
      <c r="I44" s="146">
        <f t="shared" si="13"/>
        <v>60090</v>
      </c>
      <c r="J44" s="147">
        <f t="shared" si="13"/>
        <v>1039024</v>
      </c>
      <c r="K44" s="145">
        <f t="shared" si="13"/>
        <v>0</v>
      </c>
      <c r="L44" s="146">
        <f t="shared" si="13"/>
        <v>9807779</v>
      </c>
      <c r="M44" s="146">
        <f t="shared" si="13"/>
        <v>3353893</v>
      </c>
      <c r="N44" s="146">
        <f t="shared" ref="N44" si="14">SUM(N32:N43)</f>
        <v>2640301</v>
      </c>
      <c r="O44" s="147">
        <f t="shared" si="13"/>
        <v>4829852</v>
      </c>
      <c r="P44" s="146">
        <f t="shared" si="13"/>
        <v>6748527</v>
      </c>
      <c r="Q44" s="146">
        <f t="shared" si="13"/>
        <v>1023722</v>
      </c>
      <c r="R44" s="146">
        <f t="shared" ref="R44" si="15">SUM(R32:R43)</f>
        <v>447254</v>
      </c>
      <c r="S44" s="147">
        <f t="shared" si="13"/>
        <v>609296</v>
      </c>
      <c r="T44" s="146">
        <f t="shared" si="13"/>
        <v>128000</v>
      </c>
      <c r="U44" s="146">
        <f>SUM(U32:U43)</f>
        <v>9593140</v>
      </c>
      <c r="V44" s="148">
        <f t="shared" si="13"/>
        <v>6502575</v>
      </c>
      <c r="W44" s="149">
        <f>SUM(W32:W43)</f>
        <v>109323838</v>
      </c>
      <c r="X44" s="144">
        <f>SUM(B44:V44)</f>
        <v>109323838</v>
      </c>
    </row>
    <row r="45" spans="1:24" ht="24.75" customHeight="1" x14ac:dyDescent="0.2">
      <c r="A45" s="9"/>
      <c r="B45" s="111"/>
      <c r="C45" s="99"/>
      <c r="D45" s="99"/>
      <c r="E45" s="99"/>
      <c r="F45" s="99"/>
      <c r="G45" s="99"/>
      <c r="H45" s="99"/>
      <c r="I45" s="99"/>
      <c r="J45" s="112"/>
      <c r="K45" s="111"/>
      <c r="L45" s="99"/>
      <c r="M45" s="99"/>
      <c r="N45" s="99"/>
      <c r="O45" s="112"/>
      <c r="P45" s="99"/>
      <c r="Q45" s="99"/>
      <c r="R45" s="99"/>
      <c r="S45" s="112"/>
      <c r="T45" s="99"/>
      <c r="U45" s="99"/>
      <c r="V45" s="113"/>
      <c r="W45" s="18"/>
    </row>
    <row r="46" spans="1:24" s="144" customFormat="1" ht="43.5" customHeight="1" x14ac:dyDescent="0.2">
      <c r="A46" s="139" t="s">
        <v>83</v>
      </c>
      <c r="B46" s="140">
        <f>SUM(B24+B26)-B44</f>
        <v>-2443624</v>
      </c>
      <c r="C46" s="141">
        <f t="shared" ref="C46:V46" si="16">SUM(C24+C26)-C44</f>
        <v>-348493</v>
      </c>
      <c r="D46" s="141">
        <f t="shared" si="16"/>
        <v>-485054</v>
      </c>
      <c r="E46" s="141">
        <f t="shared" si="16"/>
        <v>0</v>
      </c>
      <c r="F46" s="141">
        <f t="shared" si="16"/>
        <v>8670</v>
      </c>
      <c r="G46" s="141">
        <f t="shared" si="16"/>
        <v>-23500</v>
      </c>
      <c r="H46" s="141">
        <f t="shared" si="16"/>
        <v>8808</v>
      </c>
      <c r="I46" s="141">
        <f t="shared" si="16"/>
        <v>23426</v>
      </c>
      <c r="J46" s="142">
        <f t="shared" si="16"/>
        <v>-309024</v>
      </c>
      <c r="K46" s="140">
        <f t="shared" si="16"/>
        <v>0</v>
      </c>
      <c r="L46" s="141">
        <f t="shared" si="16"/>
        <v>-1127279</v>
      </c>
      <c r="M46" s="141">
        <f t="shared" si="16"/>
        <v>-62393</v>
      </c>
      <c r="N46" s="141">
        <f t="shared" si="16"/>
        <v>261699</v>
      </c>
      <c r="O46" s="142">
        <f t="shared" si="16"/>
        <v>67946</v>
      </c>
      <c r="P46" s="141">
        <f t="shared" si="16"/>
        <v>-445846</v>
      </c>
      <c r="Q46" s="141">
        <f t="shared" si="16"/>
        <v>3695</v>
      </c>
      <c r="R46" s="141">
        <f t="shared" si="16"/>
        <v>9096</v>
      </c>
      <c r="S46" s="142">
        <f t="shared" si="16"/>
        <v>3863</v>
      </c>
      <c r="T46" s="141">
        <f t="shared" si="16"/>
        <v>16000</v>
      </c>
      <c r="U46" s="141">
        <f t="shared" si="16"/>
        <v>0</v>
      </c>
      <c r="V46" s="143">
        <f t="shared" si="16"/>
        <v>-609775</v>
      </c>
      <c r="W46" s="132">
        <f>SUM(B46:V46)</f>
        <v>-5451785</v>
      </c>
    </row>
    <row r="47" spans="1:24" s="144" customFormat="1" ht="28.5" customHeight="1" x14ac:dyDescent="0.2">
      <c r="A47" s="138" t="s">
        <v>39</v>
      </c>
      <c r="B47" s="145">
        <f>SUM(B44:B46)</f>
        <v>57519522</v>
      </c>
      <c r="C47" s="146">
        <f t="shared" ref="C47:O47" si="17">SUM(C44:C46)</f>
        <v>65000</v>
      </c>
      <c r="D47" s="146">
        <f t="shared" si="17"/>
        <v>1582000</v>
      </c>
      <c r="E47" s="146">
        <f t="shared" si="17"/>
        <v>0</v>
      </c>
      <c r="F47" s="146">
        <f t="shared" si="17"/>
        <v>8670</v>
      </c>
      <c r="G47" s="146">
        <f t="shared" si="17"/>
        <v>0</v>
      </c>
      <c r="H47" s="146">
        <f t="shared" si="17"/>
        <v>82000</v>
      </c>
      <c r="I47" s="146">
        <f t="shared" si="17"/>
        <v>83516</v>
      </c>
      <c r="J47" s="147">
        <f t="shared" si="17"/>
        <v>730000</v>
      </c>
      <c r="K47" s="145">
        <f t="shared" si="17"/>
        <v>0</v>
      </c>
      <c r="L47" s="146">
        <f t="shared" si="17"/>
        <v>8680500</v>
      </c>
      <c r="M47" s="146">
        <f t="shared" si="17"/>
        <v>3291500</v>
      </c>
      <c r="N47" s="146">
        <f t="shared" ref="N47" si="18">SUM(N44:N46)</f>
        <v>2902000</v>
      </c>
      <c r="O47" s="147">
        <f t="shared" si="17"/>
        <v>4897798</v>
      </c>
      <c r="P47" s="146">
        <f t="shared" ref="P47:W47" si="19">SUM(P44:P46)</f>
        <v>6302681</v>
      </c>
      <c r="Q47" s="146">
        <f t="shared" si="19"/>
        <v>1027417</v>
      </c>
      <c r="R47" s="146">
        <f t="shared" ref="R47" si="20">SUM(R44:R46)</f>
        <v>456350</v>
      </c>
      <c r="S47" s="147">
        <f t="shared" si="19"/>
        <v>613159</v>
      </c>
      <c r="T47" s="146">
        <f t="shared" si="19"/>
        <v>144000</v>
      </c>
      <c r="U47" s="146">
        <f t="shared" si="19"/>
        <v>9593140</v>
      </c>
      <c r="V47" s="148">
        <f t="shared" si="19"/>
        <v>5892800</v>
      </c>
      <c r="W47" s="149">
        <f t="shared" si="19"/>
        <v>103872053</v>
      </c>
    </row>
    <row r="48" spans="1:24" s="80" customFormat="1" ht="25.5" customHeight="1" x14ac:dyDescent="0.35">
      <c r="A48" s="114"/>
      <c r="B48" s="115"/>
      <c r="C48" s="116"/>
      <c r="D48" s="116"/>
      <c r="E48" s="116"/>
      <c r="F48" s="116"/>
      <c r="G48" s="116"/>
      <c r="H48" s="116"/>
      <c r="I48" s="116"/>
      <c r="J48" s="117"/>
      <c r="K48" s="115"/>
      <c r="L48" s="116"/>
      <c r="M48" s="116"/>
      <c r="N48" s="116"/>
      <c r="O48" s="117"/>
      <c r="P48" s="116"/>
      <c r="Q48" s="116"/>
      <c r="R48" s="116"/>
      <c r="S48" s="117"/>
      <c r="T48" s="116"/>
      <c r="U48" s="116"/>
      <c r="V48" s="118"/>
      <c r="W48" s="119"/>
    </row>
    <row r="49" spans="1:23" s="120" customFormat="1" ht="30" customHeight="1" x14ac:dyDescent="0.2">
      <c r="A49" s="127" t="s">
        <v>72</v>
      </c>
      <c r="B49" s="128">
        <f>SUM(B44-B41)*0.25</f>
        <v>13486289</v>
      </c>
      <c r="C49" s="129"/>
      <c r="D49" s="129"/>
      <c r="E49" s="129"/>
      <c r="F49" s="129"/>
      <c r="G49" s="129"/>
      <c r="H49" s="129"/>
      <c r="I49" s="129"/>
      <c r="J49" s="130"/>
      <c r="K49" s="128"/>
      <c r="L49" s="129">
        <f>SUM(L44*0.1667)</f>
        <v>1634956.7592999998</v>
      </c>
      <c r="M49" s="129">
        <f>SUM(M44*0.1667)</f>
        <v>559093.96309999994</v>
      </c>
      <c r="N49" s="129">
        <f>SUM(N44*0.1667)</f>
        <v>440138.17669999995</v>
      </c>
      <c r="O49" s="130">
        <f>SUM(O44*0.1667)</f>
        <v>805136.32839999988</v>
      </c>
      <c r="P49" s="129"/>
      <c r="Q49" s="129"/>
      <c r="R49" s="129"/>
      <c r="S49" s="130"/>
      <c r="T49" s="129"/>
      <c r="U49" s="129"/>
      <c r="V49" s="131"/>
      <c r="W49" s="132">
        <f>SUM(B49:V49)</f>
        <v>16925614.227499999</v>
      </c>
    </row>
    <row r="50" spans="1:23" s="120" customFormat="1" ht="38.25" customHeight="1" x14ac:dyDescent="0.2">
      <c r="A50" s="127" t="s">
        <v>73</v>
      </c>
      <c r="B50" s="133">
        <f>ROUND(SUM(B9-B25)-B49,0)</f>
        <v>7506979</v>
      </c>
      <c r="C50" s="134">
        <f t="shared" ref="C50:V50" si="21">ROUND(SUM(C9-C25)-C49,0)</f>
        <v>672</v>
      </c>
      <c r="D50" s="134">
        <f t="shared" si="21"/>
        <v>428261</v>
      </c>
      <c r="E50" s="134">
        <f t="shared" si="21"/>
        <v>444101</v>
      </c>
      <c r="F50" s="134">
        <f t="shared" si="21"/>
        <v>169553</v>
      </c>
      <c r="G50" s="134">
        <f t="shared" si="21"/>
        <v>56124</v>
      </c>
      <c r="H50" s="134">
        <f t="shared" si="21"/>
        <v>120633</v>
      </c>
      <c r="I50" s="134">
        <f t="shared" si="21"/>
        <v>0</v>
      </c>
      <c r="J50" s="135">
        <f t="shared" si="21"/>
        <v>575117</v>
      </c>
      <c r="K50" s="133">
        <f t="shared" si="21"/>
        <v>0</v>
      </c>
      <c r="L50" s="134">
        <f t="shared" si="21"/>
        <v>6797017</v>
      </c>
      <c r="M50" s="134">
        <f t="shared" si="21"/>
        <v>1508723</v>
      </c>
      <c r="N50" s="134">
        <f t="shared" si="21"/>
        <v>-440138</v>
      </c>
      <c r="O50" s="135">
        <f t="shared" si="21"/>
        <v>363158</v>
      </c>
      <c r="P50" s="134">
        <f t="shared" si="21"/>
        <v>1302891</v>
      </c>
      <c r="Q50" s="134">
        <f t="shared" si="21"/>
        <v>1735997</v>
      </c>
      <c r="R50" s="134">
        <f t="shared" si="21"/>
        <v>2888937</v>
      </c>
      <c r="S50" s="135">
        <f t="shared" si="21"/>
        <v>0</v>
      </c>
      <c r="T50" s="136">
        <f t="shared" si="21"/>
        <v>343000</v>
      </c>
      <c r="U50" s="136">
        <f t="shared" si="21"/>
        <v>638677</v>
      </c>
      <c r="V50" s="137">
        <f t="shared" si="21"/>
        <v>909601</v>
      </c>
      <c r="W50" s="132">
        <f>SUM(B50:V50)</f>
        <v>25349303</v>
      </c>
    </row>
    <row r="51" spans="1:23" s="120" customFormat="1" ht="38.25" customHeight="1" x14ac:dyDescent="0.2">
      <c r="A51" s="127" t="s">
        <v>74</v>
      </c>
      <c r="B51" s="133">
        <f>+B50+B49</f>
        <v>20993268</v>
      </c>
      <c r="C51" s="134">
        <f t="shared" ref="C51:V51" si="22">+C50+C49</f>
        <v>672</v>
      </c>
      <c r="D51" s="134">
        <f t="shared" si="22"/>
        <v>428261</v>
      </c>
      <c r="E51" s="134">
        <f t="shared" si="22"/>
        <v>444101</v>
      </c>
      <c r="F51" s="134">
        <f>+F50+F49</f>
        <v>169553</v>
      </c>
      <c r="G51" s="134">
        <f t="shared" si="22"/>
        <v>56124</v>
      </c>
      <c r="H51" s="134">
        <f t="shared" si="22"/>
        <v>120633</v>
      </c>
      <c r="I51" s="134">
        <f t="shared" si="22"/>
        <v>0</v>
      </c>
      <c r="J51" s="135">
        <f t="shared" si="22"/>
        <v>575117</v>
      </c>
      <c r="K51" s="133">
        <f t="shared" si="22"/>
        <v>0</v>
      </c>
      <c r="L51" s="134">
        <f t="shared" si="22"/>
        <v>8431973.7592999991</v>
      </c>
      <c r="M51" s="134">
        <f t="shared" si="22"/>
        <v>2067816.9630999998</v>
      </c>
      <c r="N51" s="134">
        <f t="shared" ref="N51" si="23">+N50+N49</f>
        <v>0.17669999995268881</v>
      </c>
      <c r="O51" s="135">
        <f t="shared" si="22"/>
        <v>1168294.3284</v>
      </c>
      <c r="P51" s="134">
        <f t="shared" si="22"/>
        <v>1302891</v>
      </c>
      <c r="Q51" s="134">
        <f t="shared" si="22"/>
        <v>1735997</v>
      </c>
      <c r="R51" s="134">
        <f t="shared" ref="R51" si="24">+R50+R49</f>
        <v>2888937</v>
      </c>
      <c r="S51" s="135">
        <f t="shared" si="22"/>
        <v>0</v>
      </c>
      <c r="T51" s="136">
        <f t="shared" si="22"/>
        <v>343000</v>
      </c>
      <c r="U51" s="136">
        <f t="shared" si="22"/>
        <v>638677</v>
      </c>
      <c r="V51" s="137">
        <f t="shared" si="22"/>
        <v>909601</v>
      </c>
      <c r="W51" s="132">
        <f>SUM(B51:V51)</f>
        <v>42274917.227499999</v>
      </c>
    </row>
    <row r="52" spans="1:23" s="120" customFormat="1" ht="38.25" customHeight="1" x14ac:dyDescent="0.2">
      <c r="A52" s="138" t="s">
        <v>84</v>
      </c>
      <c r="B52" s="133">
        <f>B51-B9</f>
        <v>-2443624</v>
      </c>
      <c r="C52" s="134">
        <f>C51-C9</f>
        <v>-348493</v>
      </c>
      <c r="D52" s="134">
        <f t="shared" ref="D52:V52" si="25">D51-D9</f>
        <v>-485054</v>
      </c>
      <c r="E52" s="134">
        <f t="shared" si="25"/>
        <v>0</v>
      </c>
      <c r="F52" s="134">
        <f t="shared" si="25"/>
        <v>0</v>
      </c>
      <c r="G52" s="134">
        <f t="shared" si="25"/>
        <v>-23500</v>
      </c>
      <c r="H52" s="134">
        <f t="shared" si="25"/>
        <v>0</v>
      </c>
      <c r="I52" s="134">
        <f t="shared" si="25"/>
        <v>0</v>
      </c>
      <c r="J52" s="135">
        <f t="shared" si="25"/>
        <v>-309024</v>
      </c>
      <c r="K52" s="133">
        <f t="shared" si="25"/>
        <v>0</v>
      </c>
      <c r="L52" s="134">
        <f t="shared" si="25"/>
        <v>-1127279.2407000009</v>
      </c>
      <c r="M52" s="134">
        <f t="shared" si="25"/>
        <v>-62393.036900000181</v>
      </c>
      <c r="N52" s="134">
        <f t="shared" ref="N52" si="26">N51-N9</f>
        <v>0.17669999995268881</v>
      </c>
      <c r="O52" s="135">
        <f t="shared" si="25"/>
        <v>0.32839999999850988</v>
      </c>
      <c r="P52" s="134">
        <f t="shared" si="25"/>
        <v>-445846</v>
      </c>
      <c r="Q52" s="134">
        <f t="shared" si="25"/>
        <v>0</v>
      </c>
      <c r="R52" s="134">
        <f t="shared" ref="R52" si="27">R51-R9</f>
        <v>0</v>
      </c>
      <c r="S52" s="135">
        <f t="shared" si="25"/>
        <v>0</v>
      </c>
      <c r="T52" s="134">
        <f t="shared" si="25"/>
        <v>0</v>
      </c>
      <c r="U52" s="135">
        <f t="shared" si="25"/>
        <v>0</v>
      </c>
      <c r="V52" s="137">
        <f t="shared" si="25"/>
        <v>-609775</v>
      </c>
      <c r="W52" s="132">
        <f>SUM(B52:V52)</f>
        <v>-5854987.7725000018</v>
      </c>
    </row>
    <row r="53" spans="1:23" s="18" customFormat="1" ht="30" x14ac:dyDescent="0.2">
      <c r="A53" s="121"/>
      <c r="B53" s="301" t="s">
        <v>0</v>
      </c>
      <c r="C53" s="302"/>
      <c r="D53" s="302"/>
      <c r="E53" s="302"/>
      <c r="F53" s="302"/>
      <c r="G53" s="302"/>
      <c r="H53" s="302"/>
      <c r="I53" s="302"/>
      <c r="J53" s="303"/>
      <c r="K53" s="304" t="str">
        <f>+K30</f>
        <v>Enterprise Funds</v>
      </c>
      <c r="L53" s="305"/>
      <c r="M53" s="305"/>
      <c r="N53" s="305"/>
      <c r="O53" s="306"/>
      <c r="P53" s="310" t="s">
        <v>43</v>
      </c>
      <c r="Q53" s="310"/>
      <c r="R53" s="310"/>
      <c r="S53" s="311"/>
      <c r="T53" s="307" t="s">
        <v>1</v>
      </c>
      <c r="U53" s="309"/>
      <c r="V53" s="92" t="s">
        <v>2</v>
      </c>
      <c r="W53" s="17" t="s">
        <v>44</v>
      </c>
    </row>
    <row r="57" spans="1:23" x14ac:dyDescent="0.2">
      <c r="B57" s="15">
        <f>SUM(B26-B46)</f>
        <v>2443624</v>
      </c>
      <c r="C57" s="15">
        <f t="shared" ref="C57:W57" si="28">SUM(C26-C46)</f>
        <v>348493</v>
      </c>
      <c r="D57" s="15">
        <f t="shared" si="28"/>
        <v>485054</v>
      </c>
      <c r="E57" s="15">
        <f t="shared" si="28"/>
        <v>0</v>
      </c>
      <c r="F57" s="15">
        <f t="shared" si="28"/>
        <v>-8670</v>
      </c>
      <c r="G57" s="15">
        <f t="shared" si="28"/>
        <v>23500</v>
      </c>
      <c r="H57" s="15">
        <f t="shared" si="28"/>
        <v>-8808</v>
      </c>
      <c r="J57" s="15">
        <f t="shared" si="28"/>
        <v>309024</v>
      </c>
      <c r="K57" s="15">
        <f t="shared" si="28"/>
        <v>0</v>
      </c>
      <c r="L57" s="15">
        <f>SUM(L26-L46)</f>
        <v>1127279</v>
      </c>
      <c r="M57" s="15">
        <f t="shared" si="28"/>
        <v>62393</v>
      </c>
      <c r="N57" s="15">
        <f t="shared" ref="N57" si="29">SUM(N26-N46)</f>
        <v>-261699</v>
      </c>
      <c r="O57" s="15">
        <f t="shared" si="28"/>
        <v>-67946</v>
      </c>
      <c r="P57" s="15">
        <f t="shared" si="28"/>
        <v>445846</v>
      </c>
      <c r="Q57" s="15">
        <f t="shared" si="28"/>
        <v>-3695</v>
      </c>
      <c r="R57" s="15">
        <f t="shared" ref="R57" si="30">SUM(R26-R46)</f>
        <v>-9096</v>
      </c>
      <c r="S57" s="15">
        <f t="shared" si="28"/>
        <v>-3863</v>
      </c>
      <c r="T57" s="15">
        <f t="shared" si="28"/>
        <v>-16000</v>
      </c>
      <c r="U57" s="15">
        <f t="shared" si="28"/>
        <v>3150000</v>
      </c>
      <c r="V57" s="15">
        <f t="shared" si="28"/>
        <v>609775</v>
      </c>
      <c r="W57" s="15">
        <f t="shared" si="28"/>
        <v>8601785</v>
      </c>
    </row>
  </sheetData>
  <mergeCells count="18">
    <mergeCell ref="A1:C1"/>
    <mergeCell ref="B30:J30"/>
    <mergeCell ref="K30:O30"/>
    <mergeCell ref="T30:U30"/>
    <mergeCell ref="K28:O28"/>
    <mergeCell ref="T28:U28"/>
    <mergeCell ref="B28:J28"/>
    <mergeCell ref="B6:J6"/>
    <mergeCell ref="K6:O6"/>
    <mergeCell ref="T6:U6"/>
    <mergeCell ref="P6:S6"/>
    <mergeCell ref="D1:W1"/>
    <mergeCell ref="B53:J53"/>
    <mergeCell ref="K53:O53"/>
    <mergeCell ref="T53:U53"/>
    <mergeCell ref="P53:S53"/>
    <mergeCell ref="P28:S28"/>
    <mergeCell ref="P30:S30"/>
  </mergeCells>
  <phoneticPr fontId="0" type="noConversion"/>
  <printOptions horizontalCentered="1" verticalCentered="1"/>
  <pageMargins left="0.3" right="0.3" top="0.15" bottom="0.25" header="0.1" footer="0.1"/>
  <pageSetup paperSize="17" scale="53" fitToWidth="2" orientation="landscape" r:id="rId1"/>
  <headerFooter alignWithMargins="0">
    <oddFooter>&amp;L&amp;D&amp;R&amp;P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theme="0"/>
  </sheetPr>
  <dimension ref="A1:Y45"/>
  <sheetViews>
    <sheetView view="pageBreakPreview" topLeftCell="I17" zoomScale="63" zoomScaleNormal="100" zoomScaleSheetLayoutView="75" workbookViewId="0">
      <selection activeCell="V34" sqref="V34"/>
    </sheetView>
  </sheetViews>
  <sheetFormatPr defaultRowHeight="12.75" x14ac:dyDescent="0.2"/>
  <cols>
    <col min="1" max="1" width="41.7109375" style="5" customWidth="1"/>
    <col min="2" max="2" width="20.28515625" style="15" customWidth="1"/>
    <col min="3" max="3" width="16.140625" style="15" customWidth="1"/>
    <col min="4" max="4" width="17.140625" style="15" customWidth="1"/>
    <col min="5" max="5" width="14.28515625" style="15" hidden="1" customWidth="1"/>
    <col min="6" max="7" width="14.28515625" style="15" customWidth="1"/>
    <col min="8" max="8" width="15.28515625" style="15" customWidth="1"/>
    <col min="9" max="9" width="16.28515625" style="15" customWidth="1"/>
    <col min="10" max="10" width="16.140625" style="15" customWidth="1"/>
    <col min="11" max="14" width="18.7109375" style="15" customWidth="1"/>
    <col min="15" max="15" width="18.5703125" style="15" customWidth="1"/>
    <col min="16" max="16" width="17.140625" style="15" customWidth="1"/>
    <col min="17" max="17" width="17" style="15" customWidth="1"/>
    <col min="18" max="18" width="15.42578125" style="15" customWidth="1"/>
    <col min="19" max="19" width="15.7109375" style="15" customWidth="1"/>
    <col min="20" max="21" width="17.28515625" style="15" customWidth="1"/>
    <col min="22" max="23" width="18" style="15" customWidth="1"/>
    <col min="24" max="24" width="31.140625" style="15" customWidth="1"/>
    <col min="25" max="25" width="18.140625" style="15" bestFit="1" customWidth="1"/>
    <col min="26" max="16384" width="9.140625" style="15"/>
  </cols>
  <sheetData>
    <row r="1" spans="1:25" s="2" customFormat="1" ht="36.75" customHeight="1" x14ac:dyDescent="0.4">
      <c r="A1" s="335" t="s">
        <v>69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</row>
    <row r="2" spans="1:25" s="2" customFormat="1" ht="4.5" customHeight="1" x14ac:dyDescent="0.45">
      <c r="A2" s="160"/>
      <c r="B2" s="161"/>
      <c r="C2" s="161"/>
      <c r="D2" s="161"/>
      <c r="E2" s="161"/>
      <c r="F2" s="161"/>
      <c r="G2" s="161"/>
      <c r="H2" s="161"/>
      <c r="I2" s="161"/>
      <c r="J2" s="159"/>
      <c r="K2" s="159"/>
      <c r="L2" s="159"/>
      <c r="M2" s="274"/>
      <c r="N2" s="159"/>
      <c r="O2" s="159"/>
      <c r="P2" s="159"/>
      <c r="Q2" s="281"/>
      <c r="R2" s="159"/>
      <c r="S2" s="159"/>
      <c r="T2" s="159"/>
      <c r="U2" s="159"/>
      <c r="V2" s="159"/>
      <c r="W2" s="159"/>
      <c r="X2" s="159"/>
    </row>
    <row r="3" spans="1:25" s="2" customFormat="1" ht="37.5" customHeight="1" x14ac:dyDescent="0.45">
      <c r="A3" s="322"/>
      <c r="B3" s="323"/>
      <c r="C3" s="323"/>
      <c r="D3" s="323"/>
      <c r="E3" s="323"/>
      <c r="F3" s="323"/>
      <c r="G3" s="323"/>
      <c r="H3" s="323"/>
      <c r="I3" s="32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5" s="2" customFormat="1" ht="6" customHeight="1" x14ac:dyDescent="0.3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8"/>
      <c r="T4" s="8"/>
      <c r="U4" s="8"/>
      <c r="V4" s="8"/>
      <c r="W4" s="7"/>
      <c r="X4" s="7"/>
    </row>
    <row r="5" spans="1:25" s="2" customFormat="1" ht="1.5" customHeight="1" x14ac:dyDescent="0.2">
      <c r="A5" s="9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10"/>
      <c r="T5" s="10"/>
      <c r="U5" s="10"/>
      <c r="V5" s="10"/>
      <c r="W5" s="7"/>
    </row>
    <row r="6" spans="1:25" hidden="1" x14ac:dyDescent="0.2">
      <c r="A6" s="11"/>
      <c r="B6" s="12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3"/>
      <c r="O6" s="13"/>
      <c r="P6" s="13"/>
      <c r="Q6" s="13"/>
      <c r="R6" s="13"/>
      <c r="S6" s="14"/>
      <c r="T6" s="14"/>
      <c r="U6" s="14"/>
      <c r="V6" s="14"/>
      <c r="W6" s="12"/>
    </row>
    <row r="7" spans="1:25" s="18" customFormat="1" ht="42" customHeight="1" x14ac:dyDescent="0.2">
      <c r="A7" s="337" t="s">
        <v>61</v>
      </c>
      <c r="B7" s="324" t="s">
        <v>0</v>
      </c>
      <c r="C7" s="325"/>
      <c r="D7" s="325"/>
      <c r="E7" s="325"/>
      <c r="F7" s="325"/>
      <c r="G7" s="325"/>
      <c r="H7" s="325"/>
      <c r="I7" s="325"/>
      <c r="J7" s="326"/>
      <c r="K7" s="313"/>
      <c r="L7" s="313"/>
      <c r="M7" s="313"/>
      <c r="N7" s="314"/>
      <c r="O7" s="320" t="s">
        <v>43</v>
      </c>
      <c r="P7" s="320"/>
      <c r="Q7" s="320"/>
      <c r="R7" s="321"/>
      <c r="S7" s="317" t="s">
        <v>1</v>
      </c>
      <c r="T7" s="318"/>
      <c r="U7" s="318"/>
      <c r="V7" s="319"/>
      <c r="W7" s="16" t="s">
        <v>2</v>
      </c>
      <c r="X7" s="17" t="s">
        <v>44</v>
      </c>
    </row>
    <row r="8" spans="1:25" s="32" customFormat="1" ht="66.75" customHeight="1" x14ac:dyDescent="0.25">
      <c r="A8" s="338"/>
      <c r="B8" s="20" t="s">
        <v>3</v>
      </c>
      <c r="C8" s="21" t="s">
        <v>4</v>
      </c>
      <c r="D8" s="21" t="s">
        <v>5</v>
      </c>
      <c r="E8" s="21" t="s">
        <v>6</v>
      </c>
      <c r="F8" s="21" t="s">
        <v>7</v>
      </c>
      <c r="G8" s="21" t="s">
        <v>8</v>
      </c>
      <c r="H8" s="21" t="s">
        <v>9</v>
      </c>
      <c r="I8" s="21" t="s">
        <v>54</v>
      </c>
      <c r="J8" s="22" t="s">
        <v>10</v>
      </c>
      <c r="K8" s="24" t="s">
        <v>11</v>
      </c>
      <c r="L8" s="24" t="s">
        <v>12</v>
      </c>
      <c r="M8" s="24" t="s">
        <v>56</v>
      </c>
      <c r="N8" s="25" t="s">
        <v>13</v>
      </c>
      <c r="O8" s="26" t="s">
        <v>14</v>
      </c>
      <c r="P8" s="26" t="s">
        <v>15</v>
      </c>
      <c r="Q8" s="26" t="s">
        <v>16</v>
      </c>
      <c r="R8" s="27" t="s">
        <v>81</v>
      </c>
      <c r="S8" s="28" t="s">
        <v>66</v>
      </c>
      <c r="T8" s="28" t="s">
        <v>64</v>
      </c>
      <c r="U8" s="28" t="s">
        <v>65</v>
      </c>
      <c r="V8" s="29" t="s">
        <v>18</v>
      </c>
      <c r="W8" s="30" t="s">
        <v>2</v>
      </c>
      <c r="X8" s="31" t="s">
        <v>19</v>
      </c>
    </row>
    <row r="9" spans="1:25" s="18" customFormat="1" ht="35.25" customHeight="1" x14ac:dyDescent="0.35">
      <c r="A9" s="179" t="str">
        <f>SchedAUpdated!A24</f>
        <v>Total Revenues</v>
      </c>
      <c r="B9" s="182">
        <v>57319522</v>
      </c>
      <c r="C9" s="180">
        <v>65000</v>
      </c>
      <c r="D9" s="180">
        <v>1582000</v>
      </c>
      <c r="E9" s="180">
        <v>0</v>
      </c>
      <c r="F9" s="180">
        <v>8670</v>
      </c>
      <c r="G9" s="180">
        <v>0</v>
      </c>
      <c r="H9" s="180">
        <v>82000</v>
      </c>
      <c r="I9" s="180">
        <v>83516</v>
      </c>
      <c r="J9" s="183">
        <v>655000</v>
      </c>
      <c r="K9" s="180">
        <v>8680500</v>
      </c>
      <c r="L9" s="180">
        <v>3291500</v>
      </c>
      <c r="M9" s="180">
        <v>2902000</v>
      </c>
      <c r="N9" s="183">
        <v>4835145</v>
      </c>
      <c r="O9" s="180">
        <v>6519000</v>
      </c>
      <c r="P9" s="180">
        <v>1027417</v>
      </c>
      <c r="Q9" s="180">
        <v>456350</v>
      </c>
      <c r="R9" s="183">
        <v>613796</v>
      </c>
      <c r="S9" s="184">
        <v>40000</v>
      </c>
      <c r="T9" s="184">
        <v>75000</v>
      </c>
      <c r="U9" s="184">
        <v>15000</v>
      </c>
      <c r="V9" s="276">
        <v>6819140</v>
      </c>
      <c r="W9" s="185">
        <v>5892800</v>
      </c>
      <c r="X9" s="180">
        <f>SchedAUpdated!W24</f>
        <v>100722053</v>
      </c>
    </row>
    <row r="10" spans="1:25" ht="24" customHeight="1" x14ac:dyDescent="0.25">
      <c r="A10" s="166" t="s">
        <v>57</v>
      </c>
      <c r="B10" s="43" t="e">
        <f>#REF!</f>
        <v>#REF!</v>
      </c>
      <c r="C10" s="44">
        <v>259793</v>
      </c>
      <c r="D10" s="44">
        <v>1863432</v>
      </c>
      <c r="E10" s="44"/>
      <c r="F10" s="44"/>
      <c r="G10" s="44">
        <v>23500</v>
      </c>
      <c r="H10" s="44">
        <v>63192</v>
      </c>
      <c r="I10" s="44">
        <v>59130</v>
      </c>
      <c r="J10" s="45">
        <f>803874-21173</f>
        <v>782701</v>
      </c>
      <c r="K10" s="47">
        <v>9164019</v>
      </c>
      <c r="L10" s="47">
        <v>2925613</v>
      </c>
      <c r="M10" s="47">
        <v>1879117</v>
      </c>
      <c r="N10" s="48">
        <f>4615612</f>
        <v>4615612</v>
      </c>
      <c r="O10" s="49">
        <v>6488396</v>
      </c>
      <c r="P10" s="49">
        <f>1071405-99003</f>
        <v>972402</v>
      </c>
      <c r="Q10" s="49">
        <v>446384</v>
      </c>
      <c r="R10" s="50">
        <v>552306</v>
      </c>
      <c r="S10" s="51"/>
      <c r="T10" s="51"/>
      <c r="U10" s="51">
        <v>3000</v>
      </c>
      <c r="V10" s="51"/>
      <c r="W10" s="52">
        <v>6366575</v>
      </c>
      <c r="X10" s="125" t="e">
        <f>SUM(B10:W10)</f>
        <v>#REF!</v>
      </c>
      <c r="Y10" s="15" t="e">
        <f>SUM(X10-V10)</f>
        <v>#REF!</v>
      </c>
    </row>
    <row r="11" spans="1:25" ht="24" customHeight="1" x14ac:dyDescent="0.25">
      <c r="A11" s="166" t="s">
        <v>58</v>
      </c>
      <c r="B11" s="43" t="e">
        <f>#REF!</f>
        <v>#REF!</v>
      </c>
      <c r="C11" s="44">
        <v>57700</v>
      </c>
      <c r="D11" s="44">
        <v>76622</v>
      </c>
      <c r="E11" s="44"/>
      <c r="F11" s="44"/>
      <c r="G11" s="44"/>
      <c r="H11" s="44">
        <v>10000</v>
      </c>
      <c r="I11" s="44">
        <v>960</v>
      </c>
      <c r="J11" s="45">
        <v>21173</v>
      </c>
      <c r="K11" s="47">
        <f>79499+40290</f>
        <v>119789</v>
      </c>
      <c r="L11" s="47">
        <f>20000+17780</f>
        <v>37780</v>
      </c>
      <c r="M11" s="47">
        <f>227124+9060</f>
        <v>236184</v>
      </c>
      <c r="N11" s="48">
        <f>167754+16550</f>
        <v>184304</v>
      </c>
      <c r="O11" s="49">
        <v>276450</v>
      </c>
      <c r="P11" s="49">
        <v>51320</v>
      </c>
      <c r="Q11" s="49">
        <v>870</v>
      </c>
      <c r="R11" s="50">
        <f>4000+6990</f>
        <v>10990</v>
      </c>
      <c r="S11" s="51"/>
      <c r="T11" s="51"/>
      <c r="U11" s="51"/>
      <c r="V11" s="51"/>
      <c r="W11" s="52"/>
      <c r="X11" s="53" t="e">
        <f>SUM(B11:W11)</f>
        <v>#REF!</v>
      </c>
      <c r="Y11" s="15" t="e">
        <f>SUM(X11-V11)</f>
        <v>#REF!</v>
      </c>
    </row>
    <row r="12" spans="1:25" ht="24" customHeight="1" x14ac:dyDescent="0.25">
      <c r="A12" s="167" t="s">
        <v>59</v>
      </c>
      <c r="B12" s="124">
        <f>4029366-455000</f>
        <v>3574366</v>
      </c>
      <c r="C12" s="81"/>
      <c r="D12" s="81"/>
      <c r="E12" s="81"/>
      <c r="F12" s="81"/>
      <c r="G12" s="81"/>
      <c r="H12" s="81"/>
      <c r="I12" s="81"/>
      <c r="J12" s="82"/>
      <c r="K12" s="84">
        <v>498971</v>
      </c>
      <c r="L12" s="84">
        <v>135000</v>
      </c>
      <c r="M12" s="84">
        <v>55000</v>
      </c>
      <c r="N12" s="85"/>
      <c r="O12" s="86"/>
      <c r="P12" s="86"/>
      <c r="Q12" s="86"/>
      <c r="R12" s="87">
        <v>40000</v>
      </c>
      <c r="S12" s="88"/>
      <c r="T12" s="88"/>
      <c r="U12" s="88"/>
      <c r="V12" s="88">
        <v>3574366</v>
      </c>
      <c r="W12" s="89"/>
      <c r="X12" s="168">
        <f>SUM(B12:W12)</f>
        <v>7877703</v>
      </c>
      <c r="Y12" s="15">
        <f>SUM(X12-V12)</f>
        <v>4303337</v>
      </c>
    </row>
    <row r="13" spans="1:25" s="144" customFormat="1" ht="41.25" customHeight="1" x14ac:dyDescent="0.2">
      <c r="A13" s="138" t="s">
        <v>60</v>
      </c>
      <c r="B13" s="128" t="e">
        <f>SUM(B10:B12)</f>
        <v>#REF!</v>
      </c>
      <c r="C13" s="129">
        <f t="shared" ref="C13:W13" si="0">SUM(C10:C12)</f>
        <v>317493</v>
      </c>
      <c r="D13" s="129">
        <f t="shared" si="0"/>
        <v>1940054</v>
      </c>
      <c r="E13" s="129">
        <f t="shared" si="0"/>
        <v>0</v>
      </c>
      <c r="F13" s="129">
        <f t="shared" si="0"/>
        <v>0</v>
      </c>
      <c r="G13" s="129">
        <f t="shared" si="0"/>
        <v>23500</v>
      </c>
      <c r="H13" s="129">
        <f t="shared" si="0"/>
        <v>73192</v>
      </c>
      <c r="I13" s="129">
        <f t="shared" si="0"/>
        <v>60090</v>
      </c>
      <c r="J13" s="130">
        <f t="shared" si="0"/>
        <v>803874</v>
      </c>
      <c r="K13" s="129">
        <f t="shared" si="0"/>
        <v>9782779</v>
      </c>
      <c r="L13" s="129">
        <f t="shared" si="0"/>
        <v>3098393</v>
      </c>
      <c r="M13" s="129">
        <f>SUM(M10:M12)</f>
        <v>2170301</v>
      </c>
      <c r="N13" s="130">
        <f t="shared" si="0"/>
        <v>4799916</v>
      </c>
      <c r="O13" s="129">
        <f t="shared" si="0"/>
        <v>6764846</v>
      </c>
      <c r="P13" s="129">
        <f t="shared" si="0"/>
        <v>1023722</v>
      </c>
      <c r="Q13" s="129">
        <f t="shared" ref="Q13" si="1">SUM(Q10:Q12)</f>
        <v>447254</v>
      </c>
      <c r="R13" s="130">
        <f t="shared" si="0"/>
        <v>603296</v>
      </c>
      <c r="S13" s="129">
        <f t="shared" si="0"/>
        <v>0</v>
      </c>
      <c r="T13" s="129">
        <f t="shared" si="0"/>
        <v>0</v>
      </c>
      <c r="U13" s="129">
        <f t="shared" si="0"/>
        <v>3000</v>
      </c>
      <c r="V13" s="129">
        <f t="shared" si="0"/>
        <v>3574366</v>
      </c>
      <c r="W13" s="131">
        <f t="shared" si="0"/>
        <v>6366575</v>
      </c>
      <c r="X13" s="186" t="e">
        <f>SUM(X10:X12)</f>
        <v>#REF!</v>
      </c>
      <c r="Y13" s="144" t="e">
        <f>SUM(B13:W13)</f>
        <v>#REF!</v>
      </c>
    </row>
    <row r="14" spans="1:25" s="171" customFormat="1" ht="15" customHeight="1" x14ac:dyDescent="0.2">
      <c r="A14" s="169"/>
      <c r="B14" s="187"/>
      <c r="C14" s="188"/>
      <c r="D14" s="188"/>
      <c r="E14" s="188"/>
      <c r="F14" s="188"/>
      <c r="G14" s="188"/>
      <c r="H14" s="188"/>
      <c r="I14" s="188"/>
      <c r="J14" s="189"/>
      <c r="K14" s="188"/>
      <c r="L14" s="188"/>
      <c r="M14" s="188"/>
      <c r="N14" s="189"/>
      <c r="O14" s="188"/>
      <c r="P14" s="188"/>
      <c r="Q14" s="188"/>
      <c r="R14" s="189"/>
      <c r="S14" s="188"/>
      <c r="T14" s="188"/>
      <c r="U14" s="188"/>
      <c r="V14" s="188"/>
      <c r="W14" s="190"/>
      <c r="X14" s="191"/>
    </row>
    <row r="15" spans="1:25" s="171" customFormat="1" ht="28.5" customHeight="1" x14ac:dyDescent="0.2">
      <c r="A15" s="172" t="s">
        <v>62</v>
      </c>
      <c r="B15" s="192" t="e">
        <f>SUM(B9-B13)</f>
        <v>#REF!</v>
      </c>
      <c r="C15" s="193">
        <f t="shared" ref="C15:W15" si="2">SUM(C9-C13)</f>
        <v>-252493</v>
      </c>
      <c r="D15" s="193">
        <f t="shared" si="2"/>
        <v>-358054</v>
      </c>
      <c r="E15" s="193">
        <f t="shared" si="2"/>
        <v>0</v>
      </c>
      <c r="F15" s="193">
        <f t="shared" si="2"/>
        <v>8670</v>
      </c>
      <c r="G15" s="193">
        <f t="shared" si="2"/>
        <v>-23500</v>
      </c>
      <c r="H15" s="193">
        <f t="shared" si="2"/>
        <v>8808</v>
      </c>
      <c r="I15" s="193">
        <f t="shared" si="2"/>
        <v>23426</v>
      </c>
      <c r="J15" s="194">
        <f t="shared" si="2"/>
        <v>-148874</v>
      </c>
      <c r="K15" s="193">
        <f t="shared" si="2"/>
        <v>-1102279</v>
      </c>
      <c r="L15" s="193">
        <f t="shared" si="2"/>
        <v>193107</v>
      </c>
      <c r="M15" s="193">
        <f>SUM(M9-M13)</f>
        <v>731699</v>
      </c>
      <c r="N15" s="194">
        <f t="shared" si="2"/>
        <v>35229</v>
      </c>
      <c r="O15" s="193">
        <f t="shared" si="2"/>
        <v>-245846</v>
      </c>
      <c r="P15" s="193">
        <f t="shared" si="2"/>
        <v>3695</v>
      </c>
      <c r="Q15" s="193">
        <f t="shared" ref="Q15" si="3">SUM(Q9-Q13)</f>
        <v>9096</v>
      </c>
      <c r="R15" s="194">
        <f t="shared" si="2"/>
        <v>10500</v>
      </c>
      <c r="S15" s="193">
        <f t="shared" si="2"/>
        <v>40000</v>
      </c>
      <c r="T15" s="193">
        <f>SUM(T9-T13)</f>
        <v>75000</v>
      </c>
      <c r="U15" s="193">
        <f>SUM(U9-U13)</f>
        <v>12000</v>
      </c>
      <c r="V15" s="193">
        <f t="shared" si="2"/>
        <v>3244774</v>
      </c>
      <c r="W15" s="195">
        <f t="shared" si="2"/>
        <v>-473775</v>
      </c>
      <c r="X15" s="196" t="e">
        <f>SUM(X9-X13)</f>
        <v>#REF!</v>
      </c>
    </row>
    <row r="16" spans="1:25" s="18" customFormat="1" ht="30" x14ac:dyDescent="0.2">
      <c r="A16" s="121"/>
      <c r="B16" s="301" t="s">
        <v>0</v>
      </c>
      <c r="C16" s="302"/>
      <c r="D16" s="302"/>
      <c r="E16" s="302"/>
      <c r="F16" s="302"/>
      <c r="G16" s="302"/>
      <c r="H16" s="302"/>
      <c r="I16" s="302"/>
      <c r="J16" s="303"/>
      <c r="K16" s="305"/>
      <c r="L16" s="305"/>
      <c r="M16" s="305"/>
      <c r="N16" s="306"/>
      <c r="O16" s="310" t="s">
        <v>43</v>
      </c>
      <c r="P16" s="310"/>
      <c r="Q16" s="310"/>
      <c r="R16" s="311"/>
      <c r="S16" s="307" t="s">
        <v>1</v>
      </c>
      <c r="T16" s="308"/>
      <c r="U16" s="308"/>
      <c r="V16" s="309"/>
      <c r="W16" s="92" t="s">
        <v>2</v>
      </c>
      <c r="X16" s="17" t="s">
        <v>44</v>
      </c>
    </row>
    <row r="17" spans="1:25" s="178" customFormat="1" ht="28.5" customHeight="1" x14ac:dyDescent="0.2">
      <c r="A17" s="175"/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6"/>
    </row>
    <row r="18" spans="1:25" s="269" customFormat="1" ht="51" customHeight="1" x14ac:dyDescent="0.35">
      <c r="A18" s="270" t="s">
        <v>68</v>
      </c>
      <c r="B18" s="271" t="e">
        <f>SUM(B9-B10)</f>
        <v>#REF!</v>
      </c>
      <c r="C18" s="271">
        <f t="shared" ref="C18:W18" si="4">SUM(C9-C10)</f>
        <v>-194793</v>
      </c>
      <c r="D18" s="271">
        <f t="shared" si="4"/>
        <v>-281432</v>
      </c>
      <c r="E18" s="271">
        <f t="shared" si="4"/>
        <v>0</v>
      </c>
      <c r="F18" s="271">
        <f t="shared" si="4"/>
        <v>8670</v>
      </c>
      <c r="G18" s="271">
        <f t="shared" si="4"/>
        <v>-23500</v>
      </c>
      <c r="H18" s="271">
        <f t="shared" si="4"/>
        <v>18808</v>
      </c>
      <c r="I18" s="271">
        <f t="shared" si="4"/>
        <v>24386</v>
      </c>
      <c r="J18" s="271">
        <f t="shared" si="4"/>
        <v>-127701</v>
      </c>
      <c r="K18" s="271">
        <f>SUM(K9-K10)</f>
        <v>-483519</v>
      </c>
      <c r="L18" s="271">
        <f t="shared" si="4"/>
        <v>365887</v>
      </c>
      <c r="M18" s="271"/>
      <c r="N18" s="271">
        <f t="shared" si="4"/>
        <v>219533</v>
      </c>
      <c r="O18" s="271">
        <f t="shared" si="4"/>
        <v>30604</v>
      </c>
      <c r="P18" s="271">
        <f t="shared" si="4"/>
        <v>55015</v>
      </c>
      <c r="Q18" s="271">
        <f t="shared" ref="Q18" si="5">SUM(Q9-Q10)</f>
        <v>9966</v>
      </c>
      <c r="R18" s="271">
        <f t="shared" si="4"/>
        <v>61490</v>
      </c>
      <c r="S18" s="271">
        <f t="shared" si="4"/>
        <v>40000</v>
      </c>
      <c r="T18" s="271">
        <f t="shared" si="4"/>
        <v>75000</v>
      </c>
      <c r="U18" s="271">
        <f t="shared" si="4"/>
        <v>12000</v>
      </c>
      <c r="V18" s="271">
        <f t="shared" si="4"/>
        <v>6819140</v>
      </c>
      <c r="W18" s="271">
        <f t="shared" si="4"/>
        <v>-473775</v>
      </c>
      <c r="X18" s="272" t="e">
        <f>SUM(B18:W18)</f>
        <v>#REF!</v>
      </c>
    </row>
    <row r="19" spans="1:25" s="178" customFormat="1" ht="43.5" customHeight="1" x14ac:dyDescent="0.2">
      <c r="A19" s="175"/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6"/>
    </row>
    <row r="20" spans="1:25" s="18" customFormat="1" ht="30.75" customHeight="1" x14ac:dyDescent="0.2">
      <c r="A20" s="337" t="s">
        <v>63</v>
      </c>
      <c r="B20" s="324" t="s">
        <v>0</v>
      </c>
      <c r="C20" s="325"/>
      <c r="D20" s="325"/>
      <c r="E20" s="325"/>
      <c r="F20" s="325"/>
      <c r="G20" s="325"/>
      <c r="H20" s="325"/>
      <c r="I20" s="325"/>
      <c r="J20" s="326"/>
      <c r="K20" s="313"/>
      <c r="L20" s="313"/>
      <c r="M20" s="313"/>
      <c r="N20" s="314"/>
      <c r="O20" s="320" t="s">
        <v>43</v>
      </c>
      <c r="P20" s="320"/>
      <c r="Q20" s="320"/>
      <c r="R20" s="321"/>
      <c r="S20" s="317" t="s">
        <v>1</v>
      </c>
      <c r="T20" s="318"/>
      <c r="U20" s="318"/>
      <c r="V20" s="319"/>
      <c r="W20" s="16" t="s">
        <v>2</v>
      </c>
      <c r="X20" s="17" t="s">
        <v>44</v>
      </c>
    </row>
    <row r="21" spans="1:25" s="32" customFormat="1" ht="66.75" customHeight="1" x14ac:dyDescent="0.25">
      <c r="A21" s="338"/>
      <c r="B21" s="20" t="s">
        <v>3</v>
      </c>
      <c r="C21" s="21" t="s">
        <v>4</v>
      </c>
      <c r="D21" s="21" t="s">
        <v>5</v>
      </c>
      <c r="E21" s="21" t="s">
        <v>6</v>
      </c>
      <c r="F21" s="21" t="s">
        <v>7</v>
      </c>
      <c r="G21" s="21" t="s">
        <v>8</v>
      </c>
      <c r="H21" s="21" t="s">
        <v>9</v>
      </c>
      <c r="I21" s="21" t="s">
        <v>54</v>
      </c>
      <c r="J21" s="22" t="s">
        <v>10</v>
      </c>
      <c r="K21" s="24" t="s">
        <v>11</v>
      </c>
      <c r="L21" s="24" t="s">
        <v>12</v>
      </c>
      <c r="M21" s="24" t="s">
        <v>56</v>
      </c>
      <c r="N21" s="25" t="s">
        <v>13</v>
      </c>
      <c r="O21" s="26" t="s">
        <v>14</v>
      </c>
      <c r="P21" s="26" t="s">
        <v>15</v>
      </c>
      <c r="Q21" s="26" t="s">
        <v>16</v>
      </c>
      <c r="R21" s="27" t="s">
        <v>81</v>
      </c>
      <c r="S21" s="277" t="s">
        <v>66</v>
      </c>
      <c r="T21" s="277" t="s">
        <v>64</v>
      </c>
      <c r="U21" s="277" t="s">
        <v>65</v>
      </c>
      <c r="V21" s="29" t="s">
        <v>18</v>
      </c>
      <c r="W21" s="30" t="s">
        <v>2</v>
      </c>
      <c r="X21" s="31" t="s">
        <v>19</v>
      </c>
    </row>
    <row r="22" spans="1:25" s="155" customFormat="1" ht="33" customHeight="1" x14ac:dyDescent="0.2">
      <c r="A22" s="174" t="str">
        <f>SchedAUpdated!A9</f>
        <v xml:space="preserve">FY 13 Estimated Beginning Available Fund Balance:   </v>
      </c>
      <c r="B22" s="197">
        <f>SchedAUpdated!B9</f>
        <v>23436892</v>
      </c>
      <c r="C22" s="198">
        <f>SchedAUpdated!C9</f>
        <v>349165</v>
      </c>
      <c r="D22" s="198">
        <f>SchedAUpdated!D9</f>
        <v>913315</v>
      </c>
      <c r="E22" s="198">
        <f>SchedAUpdated!E9</f>
        <v>444101</v>
      </c>
      <c r="F22" s="198">
        <f>SchedAUpdated!F9</f>
        <v>169553</v>
      </c>
      <c r="G22" s="198">
        <f>SchedAUpdated!G9</f>
        <v>79624</v>
      </c>
      <c r="H22" s="198">
        <f>SchedAUpdated!H9</f>
        <v>120633</v>
      </c>
      <c r="I22" s="198">
        <f>SchedAUpdated!I9</f>
        <v>0</v>
      </c>
      <c r="J22" s="199">
        <f>SchedAUpdated!J9</f>
        <v>884141</v>
      </c>
      <c r="K22" s="198">
        <f>SchedAUpdated!L9</f>
        <v>9559253</v>
      </c>
      <c r="L22" s="198">
        <f>SchedAUpdated!M9</f>
        <v>2130210</v>
      </c>
      <c r="M22" s="198">
        <f>SchedAUpdated!N9</f>
        <v>0</v>
      </c>
      <c r="N22" s="199">
        <f>SchedAUpdated!O9</f>
        <v>1168294</v>
      </c>
      <c r="O22" s="198">
        <f>SchedAUpdated!P9</f>
        <v>1748737</v>
      </c>
      <c r="P22" s="198">
        <f>SchedAUpdated!Q9</f>
        <v>1735997</v>
      </c>
      <c r="Q22" s="198">
        <f>SchedAUpdated!R9</f>
        <v>2888937</v>
      </c>
      <c r="R22" s="199">
        <f>SchedAUpdated!S9</f>
        <v>0</v>
      </c>
      <c r="S22" s="198">
        <v>126600</v>
      </c>
      <c r="T22" s="198">
        <v>222386</v>
      </c>
      <c r="U22" s="198">
        <v>-5986</v>
      </c>
      <c r="V22" s="199">
        <f>SchedAUpdated!U9</f>
        <v>638677</v>
      </c>
      <c r="W22" s="200">
        <f>SchedAUpdated!V9</f>
        <v>1519376</v>
      </c>
      <c r="X22" s="201">
        <f>SchedAUpdated!W9</f>
        <v>48129905</v>
      </c>
    </row>
    <row r="23" spans="1:25" s="80" customFormat="1" ht="25.5" customHeight="1" x14ac:dyDescent="0.35">
      <c r="A23" s="114"/>
      <c r="B23" s="115"/>
      <c r="C23" s="116"/>
      <c r="D23" s="116"/>
      <c r="E23" s="116"/>
      <c r="F23" s="116"/>
      <c r="G23" s="116"/>
      <c r="H23" s="116"/>
      <c r="I23" s="116"/>
      <c r="J23" s="117"/>
      <c r="K23" s="116"/>
      <c r="L23" s="116"/>
      <c r="M23" s="116"/>
      <c r="N23" s="117"/>
      <c r="O23" s="116"/>
      <c r="P23" s="116"/>
      <c r="Q23" s="116"/>
      <c r="R23" s="117"/>
      <c r="S23" s="116"/>
      <c r="T23" s="116"/>
      <c r="U23" s="116"/>
      <c r="V23" s="116"/>
      <c r="W23" s="118"/>
      <c r="X23" s="119"/>
    </row>
    <row r="24" spans="1:25" s="120" customFormat="1" ht="42" customHeight="1" x14ac:dyDescent="0.2">
      <c r="A24" s="127" t="s">
        <v>85</v>
      </c>
      <c r="B24" s="128" t="e">
        <f>SUM(B13+B26)*0.25</f>
        <v>#REF!</v>
      </c>
      <c r="C24" s="177"/>
      <c r="D24" s="129"/>
      <c r="E24" s="129"/>
      <c r="F24" s="129"/>
      <c r="G24" s="129"/>
      <c r="H24" s="129"/>
      <c r="I24" s="129"/>
      <c r="J24" s="130"/>
      <c r="K24" s="129">
        <f>SUM(K13+K26)*0.1667</f>
        <v>1634956.7592999998</v>
      </c>
      <c r="L24" s="129">
        <f>SUM(L13+L26)*0.1667</f>
        <v>559093.96309999994</v>
      </c>
      <c r="M24" s="129">
        <f>SUM(M13+M26)*0.0667</f>
        <v>176108.07669999998</v>
      </c>
      <c r="N24" s="130">
        <f>SUM(N13+N26)*0.1667</f>
        <v>800145.99719999998</v>
      </c>
      <c r="O24" s="129"/>
      <c r="P24" s="129"/>
      <c r="Q24" s="129"/>
      <c r="R24" s="130"/>
      <c r="S24" s="129"/>
      <c r="T24" s="129"/>
      <c r="U24" s="129"/>
      <c r="V24" s="129"/>
      <c r="W24" s="131"/>
      <c r="X24" s="132" t="e">
        <f>SUM(B24:W24)</f>
        <v>#REF!</v>
      </c>
    </row>
    <row r="25" spans="1:25" s="120" customFormat="1" ht="38.25" customHeight="1" x14ac:dyDescent="0.2">
      <c r="A25" s="174" t="s">
        <v>78</v>
      </c>
      <c r="B25" s="212" t="e">
        <f>SUM(B22-B24)</f>
        <v>#REF!</v>
      </c>
      <c r="C25" s="213">
        <f>SUM(C22)</f>
        <v>349165</v>
      </c>
      <c r="D25" s="213">
        <f t="shared" ref="D25:W25" si="6">SUM(D22-D24)</f>
        <v>913315</v>
      </c>
      <c r="E25" s="213">
        <f t="shared" si="6"/>
        <v>444101</v>
      </c>
      <c r="F25" s="213">
        <f t="shared" si="6"/>
        <v>169553</v>
      </c>
      <c r="G25" s="213">
        <f t="shared" si="6"/>
        <v>79624</v>
      </c>
      <c r="H25" s="213">
        <f t="shared" si="6"/>
        <v>120633</v>
      </c>
      <c r="I25" s="213">
        <f t="shared" si="6"/>
        <v>0</v>
      </c>
      <c r="J25" s="214">
        <f t="shared" si="6"/>
        <v>884141</v>
      </c>
      <c r="K25" s="213">
        <f t="shared" si="6"/>
        <v>7924296.2407</v>
      </c>
      <c r="L25" s="213">
        <f t="shared" si="6"/>
        <v>1571116.0369000002</v>
      </c>
      <c r="M25" s="213">
        <f t="shared" ref="M25" si="7">SUM(M22-M24)</f>
        <v>-176108.07669999998</v>
      </c>
      <c r="N25" s="214">
        <f t="shared" si="6"/>
        <v>368148.00280000002</v>
      </c>
      <c r="O25" s="213">
        <f t="shared" si="6"/>
        <v>1748737</v>
      </c>
      <c r="P25" s="213">
        <f t="shared" si="6"/>
        <v>1735997</v>
      </c>
      <c r="Q25" s="213">
        <f t="shared" ref="Q25" si="8">SUM(Q22-Q24)</f>
        <v>2888937</v>
      </c>
      <c r="R25" s="214">
        <f t="shared" si="6"/>
        <v>0</v>
      </c>
      <c r="S25" s="213">
        <f t="shared" si="6"/>
        <v>126600</v>
      </c>
      <c r="T25" s="213">
        <f t="shared" si="6"/>
        <v>222386</v>
      </c>
      <c r="U25" s="213">
        <f t="shared" si="6"/>
        <v>-5986</v>
      </c>
      <c r="V25" s="213">
        <f t="shared" si="6"/>
        <v>638677</v>
      </c>
      <c r="W25" s="215">
        <f t="shared" si="6"/>
        <v>1519376</v>
      </c>
      <c r="X25" s="216" t="e">
        <f>SUM(B25:W25)</f>
        <v>#REF!</v>
      </c>
    </row>
    <row r="26" spans="1:25" ht="37.5" customHeight="1" x14ac:dyDescent="0.25">
      <c r="A26" s="173" t="s">
        <v>77</v>
      </c>
      <c r="B26" s="202">
        <f>3006624-5000</f>
        <v>3001624</v>
      </c>
      <c r="C26" s="203">
        <v>78000</v>
      </c>
      <c r="D26" s="203">
        <v>127000</v>
      </c>
      <c r="E26" s="203"/>
      <c r="F26" s="203"/>
      <c r="G26" s="203"/>
      <c r="H26" s="203"/>
      <c r="I26" s="203"/>
      <c r="J26" s="204">
        <v>160150</v>
      </c>
      <c r="K26" s="205">
        <v>25000</v>
      </c>
      <c r="L26" s="205">
        <v>255500</v>
      </c>
      <c r="M26" s="205">
        <v>470000</v>
      </c>
      <c r="N26" s="206"/>
      <c r="O26" s="207"/>
      <c r="P26" s="207"/>
      <c r="Q26" s="207"/>
      <c r="R26" s="208">
        <v>6000</v>
      </c>
      <c r="S26" s="209"/>
      <c r="T26" s="209">
        <v>125000</v>
      </c>
      <c r="U26" s="209"/>
      <c r="V26" s="209">
        <f>3244774-5000</f>
        <v>3239774</v>
      </c>
      <c r="W26" s="210"/>
      <c r="X26" s="211">
        <f>SUM(B26:W26)</f>
        <v>7488048</v>
      </c>
      <c r="Y26" s="15">
        <f>SUM(X26-V26)</f>
        <v>4248274</v>
      </c>
    </row>
    <row r="27" spans="1:25" s="120" customFormat="1" ht="42.75" customHeight="1" x14ac:dyDescent="0.2">
      <c r="A27" s="174" t="s">
        <v>79</v>
      </c>
      <c r="B27" s="217" t="e">
        <f>SUM(B25-B26)</f>
        <v>#REF!</v>
      </c>
      <c r="C27" s="218">
        <f t="shared" ref="C27:W27" si="9">SUM(C25-C26)</f>
        <v>271165</v>
      </c>
      <c r="D27" s="218">
        <f t="shared" si="9"/>
        <v>786315</v>
      </c>
      <c r="E27" s="218">
        <f t="shared" si="9"/>
        <v>444101</v>
      </c>
      <c r="F27" s="218">
        <f t="shared" si="9"/>
        <v>169553</v>
      </c>
      <c r="G27" s="218">
        <f t="shared" si="9"/>
        <v>79624</v>
      </c>
      <c r="H27" s="218">
        <f t="shared" si="9"/>
        <v>120633</v>
      </c>
      <c r="I27" s="218">
        <f t="shared" si="9"/>
        <v>0</v>
      </c>
      <c r="J27" s="219">
        <f t="shared" si="9"/>
        <v>723991</v>
      </c>
      <c r="K27" s="218">
        <f t="shared" si="9"/>
        <v>7899296.2407</v>
      </c>
      <c r="L27" s="218">
        <f t="shared" si="9"/>
        <v>1315616.0369000002</v>
      </c>
      <c r="M27" s="218">
        <f t="shared" ref="M27" si="10">SUM(M25-M26)</f>
        <v>-646108.07669999998</v>
      </c>
      <c r="N27" s="219">
        <f t="shared" si="9"/>
        <v>368148.00280000002</v>
      </c>
      <c r="O27" s="218">
        <f t="shared" si="9"/>
        <v>1748737</v>
      </c>
      <c r="P27" s="218">
        <f t="shared" si="9"/>
        <v>1735997</v>
      </c>
      <c r="Q27" s="218">
        <f t="shared" ref="Q27" si="11">SUM(Q25-Q26)</f>
        <v>2888937</v>
      </c>
      <c r="R27" s="219">
        <f t="shared" si="9"/>
        <v>-6000</v>
      </c>
      <c r="S27" s="218">
        <f t="shared" si="9"/>
        <v>126600</v>
      </c>
      <c r="T27" s="218">
        <f t="shared" si="9"/>
        <v>97386</v>
      </c>
      <c r="U27" s="218">
        <f t="shared" si="9"/>
        <v>-5986</v>
      </c>
      <c r="V27" s="218">
        <f t="shared" si="9"/>
        <v>-2601097</v>
      </c>
      <c r="W27" s="220">
        <f t="shared" si="9"/>
        <v>1519376</v>
      </c>
      <c r="X27" s="221" t="e">
        <f>SUM(B27:W27)</f>
        <v>#REF!</v>
      </c>
    </row>
    <row r="28" spans="1:25" ht="37.5" hidden="1" customHeight="1" x14ac:dyDescent="0.25">
      <c r="A28" s="173" t="s">
        <v>80</v>
      </c>
      <c r="B28" s="202">
        <v>283571000</v>
      </c>
      <c r="C28" s="203"/>
      <c r="D28" s="203"/>
      <c r="E28" s="203"/>
      <c r="F28" s="203"/>
      <c r="G28" s="203"/>
      <c r="H28" s="203"/>
      <c r="I28" s="203"/>
      <c r="J28" s="204"/>
      <c r="K28" s="205"/>
      <c r="L28" s="205"/>
      <c r="M28" s="205"/>
      <c r="N28" s="206"/>
      <c r="O28" s="207"/>
      <c r="P28" s="207"/>
      <c r="Q28" s="207"/>
      <c r="R28" s="208"/>
      <c r="S28" s="209"/>
      <c r="T28" s="209"/>
      <c r="U28" s="209"/>
      <c r="V28" s="209"/>
      <c r="W28" s="210"/>
      <c r="X28" s="211">
        <f>SUM(B28:W28)</f>
        <v>283571000</v>
      </c>
      <c r="Y28" s="15">
        <f>SUM(X28-V28)</f>
        <v>283571000</v>
      </c>
    </row>
    <row r="29" spans="1:25" s="18" customFormat="1" ht="30" x14ac:dyDescent="0.2">
      <c r="A29" s="121"/>
      <c r="B29" s="301" t="s">
        <v>0</v>
      </c>
      <c r="C29" s="302"/>
      <c r="D29" s="302"/>
      <c r="E29" s="302"/>
      <c r="F29" s="302"/>
      <c r="G29" s="302"/>
      <c r="H29" s="302"/>
      <c r="I29" s="302"/>
      <c r="J29" s="303"/>
      <c r="K29" s="305"/>
      <c r="L29" s="305"/>
      <c r="M29" s="305"/>
      <c r="N29" s="306"/>
      <c r="O29" s="310" t="s">
        <v>43</v>
      </c>
      <c r="P29" s="310"/>
      <c r="Q29" s="310"/>
      <c r="R29" s="311"/>
      <c r="S29" s="307" t="s">
        <v>1</v>
      </c>
      <c r="T29" s="308"/>
      <c r="U29" s="308"/>
      <c r="V29" s="309"/>
      <c r="W29" s="92" t="s">
        <v>2</v>
      </c>
      <c r="X29" s="17" t="s">
        <v>44</v>
      </c>
    </row>
    <row r="37" spans="1:25" s="2" customFormat="1" ht="15" x14ac:dyDescent="0.2">
      <c r="A37" s="181"/>
    </row>
    <row r="38" spans="1:25" s="2" customFormat="1" ht="15" x14ac:dyDescent="0.2">
      <c r="A38" s="181"/>
    </row>
    <row r="39" spans="1:25" ht="37.5" hidden="1" customHeight="1" x14ac:dyDescent="0.25">
      <c r="A39" s="173" t="s">
        <v>93</v>
      </c>
      <c r="B39" s="202" t="e">
        <f>B26+B13</f>
        <v>#REF!</v>
      </c>
      <c r="C39" s="203">
        <f t="shared" ref="C39:W39" si="12">C26+C13</f>
        <v>395493</v>
      </c>
      <c r="D39" s="203">
        <f t="shared" si="12"/>
        <v>2067054</v>
      </c>
      <c r="E39" s="203">
        <f t="shared" si="12"/>
        <v>0</v>
      </c>
      <c r="F39" s="203">
        <f t="shared" si="12"/>
        <v>0</v>
      </c>
      <c r="G39" s="203">
        <f t="shared" si="12"/>
        <v>23500</v>
      </c>
      <c r="H39" s="203">
        <f t="shared" si="12"/>
        <v>73192</v>
      </c>
      <c r="I39" s="203">
        <f t="shared" si="12"/>
        <v>60090</v>
      </c>
      <c r="J39" s="204">
        <f t="shared" si="12"/>
        <v>964024</v>
      </c>
      <c r="K39" s="205">
        <f t="shared" si="12"/>
        <v>9807779</v>
      </c>
      <c r="L39" s="205">
        <f t="shared" si="12"/>
        <v>3353893</v>
      </c>
      <c r="M39" s="205">
        <f t="shared" si="12"/>
        <v>2640301</v>
      </c>
      <c r="N39" s="206">
        <f t="shared" si="12"/>
        <v>4799916</v>
      </c>
      <c r="O39" s="207">
        <f t="shared" si="12"/>
        <v>6764846</v>
      </c>
      <c r="P39" s="207">
        <f t="shared" si="12"/>
        <v>1023722</v>
      </c>
      <c r="Q39" s="207">
        <f t="shared" si="12"/>
        <v>447254</v>
      </c>
      <c r="R39" s="208">
        <f t="shared" si="12"/>
        <v>609296</v>
      </c>
      <c r="S39" s="209">
        <f t="shared" si="12"/>
        <v>0</v>
      </c>
      <c r="T39" s="209">
        <f t="shared" si="12"/>
        <v>125000</v>
      </c>
      <c r="U39" s="209">
        <f t="shared" si="12"/>
        <v>3000</v>
      </c>
      <c r="V39" s="209">
        <f t="shared" si="12"/>
        <v>6814140</v>
      </c>
      <c r="W39" s="210">
        <f t="shared" si="12"/>
        <v>6366575</v>
      </c>
      <c r="X39" s="211" t="e">
        <f>SUM(B39:W39)</f>
        <v>#REF!</v>
      </c>
      <c r="Y39" s="15" t="e">
        <f>SUM(X39-V39)</f>
        <v>#REF!</v>
      </c>
    </row>
    <row r="40" spans="1:25" s="2" customFormat="1" ht="15" x14ac:dyDescent="0.2">
      <c r="A40" s="181"/>
    </row>
    <row r="41" spans="1:25" s="2" customFormat="1" ht="15" x14ac:dyDescent="0.2">
      <c r="A41" s="181"/>
    </row>
    <row r="42" spans="1:25" s="2" customFormat="1" ht="15" x14ac:dyDescent="0.2">
      <c r="A42" s="181"/>
    </row>
    <row r="43" spans="1:25" s="2" customFormat="1" ht="15" x14ac:dyDescent="0.2">
      <c r="A43" s="181"/>
    </row>
    <row r="44" spans="1:25" s="2" customFormat="1" ht="18" x14ac:dyDescent="0.25">
      <c r="A44" s="273"/>
    </row>
    <row r="45" spans="1:25" s="2" customFormat="1" ht="22.5" customHeight="1" x14ac:dyDescent="0.3">
      <c r="A45" s="333"/>
      <c r="B45" s="334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275"/>
    </row>
  </sheetData>
  <mergeCells count="21">
    <mergeCell ref="S20:V20"/>
    <mergeCell ref="B29:J29"/>
    <mergeCell ref="K29:N29"/>
    <mergeCell ref="S29:V29"/>
    <mergeCell ref="O29:R29"/>
    <mergeCell ref="A45:L45"/>
    <mergeCell ref="A1:X1"/>
    <mergeCell ref="A20:A21"/>
    <mergeCell ref="B20:J20"/>
    <mergeCell ref="K20:N20"/>
    <mergeCell ref="B16:J16"/>
    <mergeCell ref="K16:N16"/>
    <mergeCell ref="A3:I3"/>
    <mergeCell ref="O16:R16"/>
    <mergeCell ref="B7:J7"/>
    <mergeCell ref="K7:N7"/>
    <mergeCell ref="A7:A8"/>
    <mergeCell ref="S16:V16"/>
    <mergeCell ref="S7:V7"/>
    <mergeCell ref="O7:R7"/>
    <mergeCell ref="O20:R20"/>
  </mergeCells>
  <phoneticPr fontId="0" type="noConversion"/>
  <printOptions horizontalCentered="1"/>
  <pageMargins left="0.3" right="0.3" top="0.25" bottom="0.25" header="0.14000000000000001" footer="0"/>
  <pageSetup paperSize="17" scale="49" fitToWidth="2" orientation="landscape" r:id="rId1"/>
  <headerFooter alignWithMargins="0">
    <oddHeader>&amp;R&amp;"Georgia,Bold"&amp;12&amp;D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FY13RequestSummary</vt:lpstr>
      <vt:lpstr>SchedAUpdated</vt:lpstr>
      <vt:lpstr>SummaryofRequests</vt:lpstr>
      <vt:lpstr>FY13RequestSummary!Print_Area</vt:lpstr>
      <vt:lpstr>SchedAUpdated!Print_Area</vt:lpstr>
      <vt:lpstr>SummaryofRequests!Print_Area</vt:lpstr>
    </vt:vector>
  </TitlesOfParts>
  <Company>City of Roswell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merwin</dc:creator>
  <cp:lastModifiedBy>Denise Brown</cp:lastModifiedBy>
  <cp:lastPrinted>2012-05-17T14:52:08Z</cp:lastPrinted>
  <dcterms:created xsi:type="dcterms:W3CDTF">2005-04-13T21:27:52Z</dcterms:created>
  <dcterms:modified xsi:type="dcterms:W3CDTF">2012-05-31T12:40:29Z</dcterms:modified>
</cp:coreProperties>
</file>